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2835" tabRatio="670" activeTab="1"/>
  </bookViews>
  <sheets>
    <sheet name="FY2014 Town-SB" sheetId="1" r:id="rId1"/>
    <sheet name="FY2013 Highway" sheetId="2" r:id="rId2"/>
    <sheet name="EquipSched" sheetId="3" r:id="rId3"/>
    <sheet name="Questions" sheetId="4" r:id="rId4"/>
  </sheets>
  <definedNames>
    <definedName name="_xlnm.Print_Area" localSheetId="0">'FY2014 Town-SB'!$A$1:$H$106</definedName>
  </definedNames>
  <calcPr fullCalcOnLoad="1"/>
</workbook>
</file>

<file path=xl/comments1.xml><?xml version="1.0" encoding="utf-8"?>
<comments xmlns="http://schemas.openxmlformats.org/spreadsheetml/2006/main">
  <authors>
    <author>Edee L Edwards</author>
    <author>Staff</author>
    <author>Edee and Mark</author>
  </authors>
  <commentList>
    <comment ref="F25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Try to revisit with contract numbers</t>
        </r>
      </text>
    </comment>
    <comment ref="F27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Detail this out.</t>
        </r>
      </text>
    </comment>
    <comment ref="F39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With contract with Humane Society, we won't use our own kennel.</t>
        </r>
      </text>
    </comment>
    <comment ref="F55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Verify the estimate.  Does it cover reserve and engineering</t>
        </r>
      </text>
    </comment>
    <comment ref="F62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Likely to go up</t>
        </r>
      </text>
    </comment>
    <comment ref="F67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Given to us by them; budget not approved yet
</t>
        </r>
      </text>
    </comment>
    <comment ref="F68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Engineer to inspect annually will be enforced, also $1500 per bi-annual sampling</t>
        </r>
      </text>
    </comment>
    <comment ref="H19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For Town Clerk, if chosen as an option
</t>
        </r>
      </text>
    </comment>
    <comment ref="H26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Try to explore plans with unlimited calling; spent a lot on long distance with Irene</t>
        </r>
      </text>
    </comment>
    <comment ref="H47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Primary, General, and Town Meeting</t>
        </r>
      </text>
    </comment>
    <comment ref="H64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Go back and pull out insurance for the year to figure out.  Is this somehow double-tracked?</t>
        </r>
      </text>
    </comment>
    <comment ref="H67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May have final figure in Dec. 2012</t>
        </r>
      </text>
    </comment>
    <comment ref="H72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May get better info soon.</t>
        </r>
      </text>
    </comment>
    <comment ref="C24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Previously combined with other items
</t>
        </r>
      </text>
    </comment>
    <comment ref="C32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Wings program done wrong on previous year printing, added here.</t>
        </r>
      </text>
    </comment>
    <comment ref="C25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Not sure where these numbers came from; they were in SpentFY11 column</t>
        </r>
      </text>
    </comment>
    <comment ref="B96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Town Portion of FEMA Expenditures
</t>
        </r>
      </text>
    </comment>
    <comment ref="A97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Verify Acct number with Patty Dow
</t>
        </r>
      </text>
    </comment>
    <comment ref="E98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Tracked as a liability; is not showing on Treasurer P&amp;L for some reason</t>
        </r>
      </text>
    </comment>
    <comment ref="E99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Per Patty Dow, was paid as a liability, not shown on P&amp;L somehow.  One interest payment and principal paid under SB budget; will go into highway for FY12 and beyond.</t>
        </r>
      </text>
    </comment>
    <comment ref="E100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Variant with P&amp;L includes: Town bond &amp; 1/2 yr. interest payment; town portion of payroll, small fee not included here; 1048 unknown</t>
        </r>
      </text>
    </comment>
    <comment ref="G17" authorId="2">
      <text>
        <r>
          <rPr>
            <b/>
            <sz val="9"/>
            <rFont val="Tahoma"/>
            <family val="2"/>
          </rPr>
          <t>Edee and Mark:</t>
        </r>
        <r>
          <rPr>
            <sz val="9"/>
            <rFont val="Tahoma"/>
            <family val="2"/>
          </rPr>
          <t xml:space="preserve">
On SB budget, sum is 48,974.00</t>
        </r>
      </text>
    </comment>
    <comment ref="G24" authorId="2">
      <text>
        <r>
          <rPr>
            <b/>
            <sz val="9"/>
            <rFont val="Tahoma"/>
            <family val="2"/>
          </rPr>
          <t>Edee and Mark:</t>
        </r>
        <r>
          <rPr>
            <sz val="9"/>
            <rFont val="Tahoma"/>
            <family val="2"/>
          </rPr>
          <t xml:space="preserve">
SB budget says $7296.86.  Not in the total line for SB budget</t>
        </r>
      </text>
    </comment>
    <comment ref="G37" authorId="2">
      <text>
        <r>
          <rPr>
            <b/>
            <sz val="9"/>
            <rFont val="Tahoma"/>
            <family val="2"/>
          </rPr>
          <t>Edee and Mark:</t>
        </r>
        <r>
          <rPr>
            <sz val="9"/>
            <rFont val="Tahoma"/>
            <family val="2"/>
          </rPr>
          <t xml:space="preserve">
SB Budget says 12,286.39
</t>
        </r>
      </text>
    </comment>
    <comment ref="B16" authorId="2">
      <text>
        <r>
          <rPr>
            <b/>
            <sz val="9"/>
            <rFont val="Tahoma"/>
            <family val="2"/>
          </rPr>
          <t>Edee and Mark:</t>
        </r>
        <r>
          <rPr>
            <sz val="9"/>
            <rFont val="Tahoma"/>
            <family val="2"/>
          </rPr>
          <t xml:space="preserve">
For town repeaters and bridges.  Verify that some is not for highway.</t>
        </r>
      </text>
    </comment>
    <comment ref="J19" authorId="2">
      <text>
        <r>
          <rPr>
            <b/>
            <sz val="9"/>
            <rFont val="Tahoma"/>
            <family val="2"/>
          </rPr>
          <t>Edee and Mark:</t>
        </r>
        <r>
          <rPr>
            <sz val="9"/>
            <rFont val="Tahoma"/>
            <family val="2"/>
          </rPr>
          <t xml:space="preserve">
Update when CY2013 rates are known.</t>
        </r>
      </text>
    </comment>
    <comment ref="G57" authorId="2">
      <text>
        <r>
          <rPr>
            <b/>
            <sz val="9"/>
            <rFont val="Tahoma"/>
            <family val="2"/>
          </rPr>
          <t>Edee and Mark:</t>
        </r>
        <r>
          <rPr>
            <sz val="9"/>
            <rFont val="Tahoma"/>
            <family val="2"/>
          </rPr>
          <t xml:space="preserve">
From SB Budget: 3721</t>
        </r>
      </text>
    </comment>
    <comment ref="G69" authorId="2">
      <text>
        <r>
          <rPr>
            <b/>
            <sz val="9"/>
            <rFont val="Tahoma"/>
            <family val="2"/>
          </rPr>
          <t>Edee and Mark:</t>
        </r>
        <r>
          <rPr>
            <sz val="9"/>
            <rFont val="Tahoma"/>
            <family val="2"/>
          </rPr>
          <t xml:space="preserve">
Green Up Day contribution</t>
        </r>
      </text>
    </comment>
    <comment ref="I58" authorId="2">
      <text>
        <r>
          <rPr>
            <b/>
            <sz val="9"/>
            <rFont val="Tahoma"/>
            <family val="0"/>
          </rPr>
          <t>Edee and Mark:</t>
        </r>
        <r>
          <rPr>
            <sz val="9"/>
            <rFont val="Tahoma"/>
            <family val="0"/>
          </rPr>
          <t xml:space="preserve">
No figures FY13 yet?</t>
        </r>
      </text>
    </comment>
  </commentList>
</comments>
</file>

<file path=xl/comments2.xml><?xml version="1.0" encoding="utf-8"?>
<comments xmlns="http://schemas.openxmlformats.org/spreadsheetml/2006/main">
  <authors>
    <author>Edee L Edwards</author>
    <author>Staff</author>
  </authors>
  <commentList>
    <comment ref="B6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VLCT conferences free, Vermont Local Roads-$20-25 each
</t>
        </r>
      </text>
    </comment>
    <comment ref="B23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Hauling it ourselves during rainy periods saves $
</t>
        </r>
      </text>
    </comment>
    <comment ref="B25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148000 spent last few years, lots add in the past year to catch up.  Have 3 years left, 9300 yards this year, usually 2-3K/ years.  Crushed 28K yards.  Some stone at 10K/yard.
</t>
        </r>
      </text>
    </comment>
    <comment ref="B26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New category, as reserve</t>
        </r>
      </text>
    </comment>
    <comment ref="B27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YTD- 8K
</t>
        </r>
      </text>
    </comment>
    <comment ref="B29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Ditch stone goes in here</t>
        </r>
      </text>
    </comment>
    <comment ref="B30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Grant max $150K, town must pay 20%</t>
        </r>
      </text>
    </comment>
    <comment ref="B36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Parts, filters, tires, chains, plow blades: normal and needed maintenance</t>
        </r>
      </text>
    </comment>
    <comment ref="B37" authorId="0">
      <text>
        <r>
          <rPr>
            <b/>
            <sz val="8"/>
            <rFont val="Tahoma"/>
            <family val="2"/>
          </rPr>
          <t>Edee L Edwards:</t>
        </r>
        <r>
          <rPr>
            <sz val="8"/>
            <rFont val="Tahoma"/>
            <family val="2"/>
          </rPr>
          <t xml:space="preserve">
Removed old grader sheds earlier</t>
        </r>
      </text>
    </comment>
    <comment ref="G54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Have applied for lower bond rate.  Could get better numbers</t>
        </r>
      </text>
    </comment>
    <comment ref="A54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Verify Acct number with Patty Dow
</t>
        </r>
      </text>
    </comment>
    <comment ref="A45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Verify account number with Patty Dow</t>
        </r>
      </text>
    </comment>
    <comment ref="D56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Per Patty Dow, was paid as a liability, not shown on P&amp;L somehow.  One interest payment and principal paid under SB budget; will go into highway for FY12 and beyond.
</t>
        </r>
      </text>
    </comment>
    <comment ref="D57" authorId="1">
      <text>
        <r>
          <rPr>
            <b/>
            <sz val="8"/>
            <rFont val="Tahoma"/>
            <family val="2"/>
          </rPr>
          <t>Staff:</t>
        </r>
        <r>
          <rPr>
            <sz val="8"/>
            <rFont val="Tahoma"/>
            <family val="2"/>
          </rPr>
          <t xml:space="preserve">
Variant with P&amp;L includes 9700 account, and Garage bond</t>
        </r>
      </text>
    </comment>
  </commentList>
</comments>
</file>

<file path=xl/sharedStrings.xml><?xml version="1.0" encoding="utf-8"?>
<sst xmlns="http://schemas.openxmlformats.org/spreadsheetml/2006/main" count="347" uniqueCount="310">
  <si>
    <t>Acct. Description</t>
  </si>
  <si>
    <t>Selectboard</t>
  </si>
  <si>
    <t>Bookkeeper</t>
  </si>
  <si>
    <t>Selectboard Secretary</t>
  </si>
  <si>
    <t>Town Clerk</t>
  </si>
  <si>
    <t>Town Clerk Assistant</t>
  </si>
  <si>
    <t>Listers, Regular</t>
  </si>
  <si>
    <t>Planning Comm. Sec'y</t>
  </si>
  <si>
    <t>Auditors</t>
  </si>
  <si>
    <t>Conferences/Training</t>
  </si>
  <si>
    <t>Health Insurance</t>
  </si>
  <si>
    <t>Retirement</t>
  </si>
  <si>
    <t>Employee Benefits</t>
  </si>
  <si>
    <t>Repairs &amp; Maintenance</t>
  </si>
  <si>
    <t>Telephone</t>
  </si>
  <si>
    <t>Dues &amp; Subscriptions</t>
  </si>
  <si>
    <t>Ad &amp; Legal Notices</t>
  </si>
  <si>
    <t>Office Supplies</t>
  </si>
  <si>
    <t>Listers Supplies (&amp; Mileage)</t>
  </si>
  <si>
    <t>Planning Comm. Supplies</t>
  </si>
  <si>
    <t>Selectboard Supplies &amp; Mileage</t>
  </si>
  <si>
    <t>Internet Service Provider</t>
  </si>
  <si>
    <t>Town Office Expenses</t>
  </si>
  <si>
    <t>Street Lights</t>
  </si>
  <si>
    <t>Dog Kennel Expenses</t>
  </si>
  <si>
    <t>Town Expenses</t>
  </si>
  <si>
    <t>Legal Services</t>
  </si>
  <si>
    <r>
      <t xml:space="preserve">Internet Services / </t>
    </r>
    <r>
      <rPr>
        <b/>
        <sz val="10"/>
        <rFont val="Arial"/>
        <family val="2"/>
      </rPr>
      <t>Computer Service</t>
    </r>
  </si>
  <si>
    <t>Law Enforcement</t>
  </si>
  <si>
    <t>Professional Services</t>
  </si>
  <si>
    <t>Moderator</t>
  </si>
  <si>
    <t>Ballot Clerks</t>
  </si>
  <si>
    <t>Printing</t>
  </si>
  <si>
    <t>Town Meeting Postage</t>
  </si>
  <si>
    <t>Special Town Meeting Expense</t>
  </si>
  <si>
    <t>Town Meeting Expense</t>
  </si>
  <si>
    <t>Bridge Maintenance</t>
  </si>
  <si>
    <t>Bridges</t>
  </si>
  <si>
    <t>Cemeteries</t>
  </si>
  <si>
    <t>Dispatching Fees</t>
  </si>
  <si>
    <t>Special UL Fuel</t>
  </si>
  <si>
    <t>Equipment &amp; Gear</t>
  </si>
  <si>
    <t>WSWMD</t>
  </si>
  <si>
    <t>Landfill Closure</t>
  </si>
  <si>
    <t>Environmental Expenses</t>
  </si>
  <si>
    <t>County Tax</t>
  </si>
  <si>
    <t>Vt Education Property Tax</t>
  </si>
  <si>
    <t>Property Tax Refunds</t>
  </si>
  <si>
    <t>Taxes and Interest</t>
  </si>
  <si>
    <t>Utilities</t>
  </si>
  <si>
    <t>Rent</t>
  </si>
  <si>
    <t>Bond Payment</t>
  </si>
  <si>
    <t>Town Share of School Exp.</t>
  </si>
  <si>
    <t>Empl. Practices Liability</t>
  </si>
  <si>
    <t>Public Official Liability</t>
  </si>
  <si>
    <t>Workers Comp</t>
  </si>
  <si>
    <t>Property &amp; Casualty</t>
  </si>
  <si>
    <t>Unemployment Insurance</t>
  </si>
  <si>
    <t>Insurance</t>
  </si>
  <si>
    <t>Selectboard Account</t>
  </si>
  <si>
    <t>Reappraisal</t>
  </si>
  <si>
    <t>Fees &amp; Interest Earned</t>
  </si>
  <si>
    <t>Highway Expenses</t>
  </si>
  <si>
    <t>Budget 11</t>
  </si>
  <si>
    <t>Road Crew</t>
  </si>
  <si>
    <t>Road Commissioner</t>
  </si>
  <si>
    <t>Salaries and Wages</t>
  </si>
  <si>
    <t>Conferences / Training</t>
  </si>
  <si>
    <t>Life Insurance</t>
  </si>
  <si>
    <t>Uniforms</t>
  </si>
  <si>
    <t>Hiring Costs / Drug Tests</t>
  </si>
  <si>
    <t>Bonus</t>
  </si>
  <si>
    <t>Employee Benefits &amp; Costs</t>
  </si>
  <si>
    <t>Electricity</t>
  </si>
  <si>
    <t>Heating Oil</t>
  </si>
  <si>
    <t>Building Repairs &amp; Maintenance</t>
  </si>
  <si>
    <t>Office Cleaning &amp; Supplies</t>
  </si>
  <si>
    <t>Trash Collection</t>
  </si>
  <si>
    <t>Shop Expenses</t>
  </si>
  <si>
    <t>Sand</t>
  </si>
  <si>
    <t>Salt</t>
  </si>
  <si>
    <t>Gravel Reserve Fund</t>
  </si>
  <si>
    <t>Chloride</t>
  </si>
  <si>
    <t>Cold Patch &amp; Culverts</t>
  </si>
  <si>
    <t>Construction</t>
  </si>
  <si>
    <t>Resurfacing</t>
  </si>
  <si>
    <t>Roadside Mowing</t>
  </si>
  <si>
    <t>Road Signs</t>
  </si>
  <si>
    <t>Safety Gear</t>
  </si>
  <si>
    <t>Road Supplies &amp; Applications</t>
  </si>
  <si>
    <t>Fuel</t>
  </si>
  <si>
    <t>Maintenance</t>
  </si>
  <si>
    <t>Insurance- VLCT Property &amp; Casualty</t>
  </si>
  <si>
    <t>Under funded deficit</t>
  </si>
  <si>
    <t>Prefunding to replace One Ton</t>
  </si>
  <si>
    <t>Plow for 1 ton - 2012</t>
  </si>
  <si>
    <t>Prefunding 2005 International</t>
  </si>
  <si>
    <t>Scott Fund</t>
  </si>
  <si>
    <t>State Aid</t>
  </si>
  <si>
    <t>Raise &amp; Appropriate</t>
  </si>
  <si>
    <t>Spent FY10</t>
  </si>
  <si>
    <t>Notes</t>
  </si>
  <si>
    <t>Proposal FY13</t>
  </si>
  <si>
    <t>Spent FY11</t>
  </si>
  <si>
    <t>80196 in plan, but added family members.  Note that Jan gives new cost estimates</t>
  </si>
  <si>
    <t>extra payment last year</t>
  </si>
  <si>
    <t>percentage of wages, so OT impacts</t>
  </si>
  <si>
    <t>"Random"</t>
  </si>
  <si>
    <t>Prebought $7000 this year</t>
  </si>
  <si>
    <t>Already on unlimited long distance.</t>
  </si>
  <si>
    <t>Salt rinse for concrete floor at end of winter, 584; have enough to do 3 years.  540 previous year</t>
  </si>
  <si>
    <t>Went up to $85, extra $5.</t>
  </si>
  <si>
    <t>To date $12795; hauling takes away cost; plenty stockpiled now.</t>
  </si>
  <si>
    <t>Will need more this year</t>
  </si>
  <si>
    <t>Some years, don't spend all</t>
  </si>
  <si>
    <t>Did 3 years worth of culverts since the flood.  If Brook Rd to Green River Road paving, need 5-6 culverts</t>
  </si>
  <si>
    <t>Hay for mulching, road fabric</t>
  </si>
  <si>
    <t>a few occasional expenses</t>
  </si>
  <si>
    <t>Assuming 3% raise</t>
  </si>
  <si>
    <t>First interest payment prorated, due Nov. 15, 2012, full interest due May, 2013</t>
  </si>
  <si>
    <t>First principal with interest, Nov. 15, 2013</t>
  </si>
  <si>
    <t>20 year</t>
  </si>
  <si>
    <t>10 year</t>
  </si>
  <si>
    <t>Budget FY11</t>
  </si>
  <si>
    <t>Budget FY12</t>
  </si>
  <si>
    <t>Needs to be upped to 10k</t>
  </si>
  <si>
    <t>Town Meeting Expense - Misc</t>
  </si>
  <si>
    <t>Zero out</t>
  </si>
  <si>
    <t>Medicare &amp; FICA (Soc. Sec.)  Total for town: 24363</t>
  </si>
  <si>
    <t>Returned check fees</t>
  </si>
  <si>
    <t>Last year extraordinarily high due to snow; will be stockpiling while GRR is gravel</t>
  </si>
  <si>
    <t>only 3 quarters pd. last year</t>
  </si>
  <si>
    <t xml:space="preserve"> </t>
  </si>
  <si>
    <t>Initially employees paid portion, but later learned that we couldn't legally charge them. (Fix name of account).  Guilford gives clothing allowance of $400/year. Still need to do shop rags.  Stratton sets up an expense count at a particular store.</t>
  </si>
  <si>
    <t>Jackets, raincoats, vests</t>
  </si>
  <si>
    <t>Guilford has 40 hours; anything about 50 hrs offered as up to 20 hrs of comp time.  Whitingham does split, 40 in summer, 45 in winter; Wilmington does 40 hour, no comp time; State does 40 hour week, and comp time.  Added more than 3% because this has been underestimated for a number of years.</t>
  </si>
  <si>
    <t>Canedy's GRR 0.6mile (Town Hill to Jacksonville.) Collins Road also getting rough, but as class 3 road, not eligible for grant money. 6-7000 reclaim, 2700 for culverts, gravel 2500 yards; $19/yd. delivered: $48,302.  Put 40000 in reserve, use 60000 (plus possible bond)</t>
  </si>
  <si>
    <t>Bridges, blacktop</t>
  </si>
  <si>
    <t>interest</t>
  </si>
  <si>
    <t>brush piles</t>
  </si>
  <si>
    <t>1937.56/mo family* 6 mo.  Place for possible surplus</t>
  </si>
  <si>
    <t>Need to ask Patty to add account.  Includes tokens</t>
  </si>
  <si>
    <t>-</t>
  </si>
  <si>
    <t>Spent</t>
  </si>
  <si>
    <t>Total SB and Highway</t>
  </si>
  <si>
    <t>Highway budget percent increase from FY2012:</t>
  </si>
  <si>
    <t>Wages</t>
  </si>
  <si>
    <t>Total 7475</t>
  </si>
  <si>
    <t>Total Municipal</t>
  </si>
  <si>
    <t>6100 Total</t>
  </si>
  <si>
    <t>6200 Total</t>
  </si>
  <si>
    <t>6250 Total</t>
  </si>
  <si>
    <t>6270 Total</t>
  </si>
  <si>
    <t>6300 Total</t>
  </si>
  <si>
    <t>6400 Total</t>
  </si>
  <si>
    <t>6450 Total</t>
  </si>
  <si>
    <t>6570 Total</t>
  </si>
  <si>
    <t>6600 Total</t>
  </si>
  <si>
    <t>6700 Total</t>
  </si>
  <si>
    <t xml:space="preserve">6750 Total </t>
  </si>
  <si>
    <t>6800 Total</t>
  </si>
  <si>
    <t>6850 Total</t>
  </si>
  <si>
    <t>6000 Total</t>
  </si>
  <si>
    <t>9700 Subtotal Town</t>
  </si>
  <si>
    <t>9300 Total</t>
  </si>
  <si>
    <t>Garage Bond Interest</t>
  </si>
  <si>
    <t>Garage Bond Payment</t>
  </si>
  <si>
    <t>Municipal Subtotal</t>
  </si>
  <si>
    <t>Paid by Eames Fund</t>
  </si>
  <si>
    <t>Incomes against expenses</t>
  </si>
  <si>
    <t>Supplementary Road Assistance (Estimated Irene bond interest; audit)</t>
  </si>
  <si>
    <t>Stray Dogs (WCHS)</t>
  </si>
  <si>
    <t>Special Election not needed for operating bond.</t>
  </si>
  <si>
    <t>Highway Dept. Total (from other pg)</t>
  </si>
  <si>
    <t>6920 Total</t>
  </si>
  <si>
    <t>Collapse</t>
  </si>
  <si>
    <t>*why called out in proposed budget in town report? Collapse</t>
  </si>
  <si>
    <t>Our gravel depletion FEMA reimbursement will come to $60K likely.  Crushing our own; started at 100K, went to $150.  We have no material left in our gravel bed.  Confirm account exists</t>
  </si>
  <si>
    <t>Stone</t>
  </si>
  <si>
    <t xml:space="preserve">7100 Total </t>
  </si>
  <si>
    <t xml:space="preserve">7200 Total </t>
  </si>
  <si>
    <t xml:space="preserve">7300 Total </t>
  </si>
  <si>
    <t>Payroll Exp--Soc. Sec. &amp; Medicare</t>
  </si>
  <si>
    <t>Garage Expenses</t>
  </si>
  <si>
    <t>7400 Total</t>
  </si>
  <si>
    <t>7600 Total</t>
  </si>
  <si>
    <t>6550 Total</t>
  </si>
  <si>
    <t>Equipment Reserve Fund</t>
  </si>
  <si>
    <t>Sub Total Highway</t>
  </si>
  <si>
    <t>Other Funding</t>
  </si>
  <si>
    <t>Raise and Appropriate Highway</t>
  </si>
  <si>
    <t>Prefunding for Sterling Dump Truck</t>
  </si>
  <si>
    <t>Highway Income Against Expense</t>
  </si>
  <si>
    <t>(Former Equipment Fund)</t>
  </si>
  <si>
    <t>Equipment Lease Payments</t>
  </si>
  <si>
    <t>9700 Subtotal Highway</t>
  </si>
  <si>
    <t>Payroll Exp--Soc. Sec.- Town</t>
  </si>
  <si>
    <t>Purchase Price</t>
  </si>
  <si>
    <t>Town of Halifax Equipment Schedule 1/2012</t>
  </si>
  <si>
    <t>Year of Replacement</t>
  </si>
  <si>
    <t>Model Year</t>
  </si>
  <si>
    <t>John Deere Loader</t>
  </si>
  <si>
    <t>Purchase / Lease</t>
  </si>
  <si>
    <t>L</t>
  </si>
  <si>
    <t>Caterpillar Excavator</t>
  </si>
  <si>
    <t>Estimated Replacement Cost</t>
  </si>
  <si>
    <t>Equipment Description</t>
  </si>
  <si>
    <t>Chevy One Ton #5</t>
  </si>
  <si>
    <t>Sterling Dump Truck #4</t>
  </si>
  <si>
    <t>International Dump Truck #1</t>
  </si>
  <si>
    <t>Sterling Dump Truck #3</t>
  </si>
  <si>
    <t>Morbark Wood Chipper</t>
  </si>
  <si>
    <t>Normal Life Span (Years)</t>
  </si>
  <si>
    <t>Expanded Life Span (Years)</t>
  </si>
  <si>
    <t>International Tandem Dump Truck #2</t>
  </si>
  <si>
    <t>Purchase / Lease / Prefund</t>
  </si>
  <si>
    <t>Lease</t>
  </si>
  <si>
    <t xml:space="preserve">Total Equipment Raise and Appropriate: </t>
  </si>
  <si>
    <t xml:space="preserve">Description </t>
  </si>
  <si>
    <t>Prefund</t>
  </si>
  <si>
    <t>Total Purchase / Reserve Fund:</t>
  </si>
  <si>
    <t>Caterpillar AWD Grader</t>
  </si>
  <si>
    <t>Total Lease Payments</t>
  </si>
  <si>
    <t>TBD</t>
  </si>
  <si>
    <t>(International Tandem Dump #2)</t>
  </si>
  <si>
    <t>Fire Company Fees</t>
  </si>
  <si>
    <t>Halifax Fire Company</t>
  </si>
  <si>
    <t>&lt;Cemetery&gt; Wages</t>
  </si>
  <si>
    <t>&lt;Cemetery&gt; Equipment Rental</t>
  </si>
  <si>
    <t>&lt;Cemetery&gt; Wages - Per Diem</t>
  </si>
  <si>
    <t>Cover with bond? Stuff like debris removal, possibly some paving. Final decisions: interest only, plus cost of audit.</t>
  </si>
  <si>
    <t>Municipal Bond information from 12/13/2011</t>
  </si>
  <si>
    <t>Includes accts: 5622,5611,5230,5240</t>
  </si>
  <si>
    <t>Blower</t>
  </si>
  <si>
    <t>Excavator (Lease)</t>
  </si>
  <si>
    <t>Loader (Lease)</t>
  </si>
  <si>
    <t>Grader (Lease)</t>
  </si>
  <si>
    <t>Shop Supplies &amp; Tools</t>
  </si>
  <si>
    <t>Trucks</t>
  </si>
  <si>
    <t>Subtotal other equipment</t>
  </si>
  <si>
    <t>Equipment</t>
  </si>
  <si>
    <t>Garage Bond* (see Highway also)</t>
  </si>
  <si>
    <t>Acct. #</t>
  </si>
  <si>
    <t>Garage Bond * (See SlctBd)</t>
  </si>
  <si>
    <t>Acct #</t>
  </si>
  <si>
    <t>Budget FY2012</t>
  </si>
  <si>
    <t>Town of Halifax Equipment Lease and Reserve Plan 1/2012</t>
  </si>
  <si>
    <t>Purchase</t>
  </si>
  <si>
    <t>Spent FY12</t>
  </si>
  <si>
    <t>Medicare</t>
  </si>
  <si>
    <t>FICA</t>
  </si>
  <si>
    <t>Spent FY13 YTD</t>
  </si>
  <si>
    <t>Proposal FY14</t>
  </si>
  <si>
    <t>hrs</t>
  </si>
  <si>
    <t>Rate for Assist.</t>
  </si>
  <si>
    <t>Weeks at 24 hr</t>
  </si>
  <si>
    <t>Assumes 2.5 day/month at 7 hrs each</t>
  </si>
  <si>
    <t>Irene Project Manager (WAS EOC Project Manager)</t>
  </si>
  <si>
    <t>Irene Procurement Officer  (WAS EOC Procurement Manager)</t>
  </si>
  <si>
    <t>Town Procurement Officer</t>
  </si>
  <si>
    <t>Need to capture reimbursement somewhere</t>
  </si>
  <si>
    <t>Temp. position closed</t>
  </si>
  <si>
    <t>w/o Irene PM</t>
  </si>
  <si>
    <t>Four percent of salary for each employee</t>
  </si>
  <si>
    <t>Consider plan with voicemail when busy</t>
  </si>
  <si>
    <t>Ads &amp; Legal Notices - SRA (Irene)</t>
  </si>
  <si>
    <t>Municipal Planning Grant est. 8,000</t>
  </si>
  <si>
    <t>For FY14, town portion of grants to improve EOC Internet</t>
  </si>
  <si>
    <t>Est. for audit legal notices</t>
  </si>
  <si>
    <t>Grant: $175K, We will pay 10%.  Reserve fund: 25000 (FY11)</t>
  </si>
  <si>
    <t>Estimate from Keene Mutual Aid in December</t>
  </si>
  <si>
    <t>6950 · PROPERTY TAX REFUNDS/ESCROW TAX</t>
  </si>
  <si>
    <t>6952 · Property Tax Abatements/Adjmnts</t>
  </si>
  <si>
    <t>6951 · Property Tax Overpayments</t>
  </si>
  <si>
    <t>Total 6950 · PROPERTY TAX REFUNDS/ESCROW TAX</t>
  </si>
  <si>
    <t>Questions: This account has not been noted in the past.  Is that because it generally zero's out?</t>
  </si>
  <si>
    <t>EOC Emergency Operations Center</t>
  </si>
  <si>
    <t>EOC Logistics Fire</t>
  </si>
  <si>
    <t>EOC Logistics</t>
  </si>
  <si>
    <t>EOC Emg Op Center Overtime</t>
  </si>
  <si>
    <t>EOC Emergency Supplies &amp; Exp</t>
  </si>
  <si>
    <t>626X</t>
  </si>
  <si>
    <t>Planning Comm. Exp.</t>
  </si>
  <si>
    <t>Bridge Construction</t>
  </si>
  <si>
    <t>Bridge Construction - SRA</t>
  </si>
  <si>
    <t>Bridges - Other</t>
  </si>
  <si>
    <t>Other</t>
  </si>
  <si>
    <t>Storm Debris Removal (SRA)</t>
  </si>
  <si>
    <t>VLCT-Property &amp; Casualty/EMT</t>
  </si>
  <si>
    <t>6900 Total</t>
  </si>
  <si>
    <t>Bank Charges and Fees</t>
  </si>
  <si>
    <t>Service Charges</t>
  </si>
  <si>
    <t>Returned Check Fees</t>
  </si>
  <si>
    <t>Late Fees and Finance Charges</t>
  </si>
  <si>
    <t>VARIANCE</t>
  </si>
  <si>
    <r>
      <t>Short Term Interest</t>
    </r>
    <r>
      <rPr>
        <sz val="10"/>
        <color indexed="10"/>
        <rFont val="Arial"/>
        <family val="2"/>
      </rPr>
      <t xml:space="preserve"> (Irene)</t>
    </r>
  </si>
  <si>
    <t>12/1: Confirmed to keep at 3K; new shelving is requested</t>
  </si>
  <si>
    <t>12/1/2012: Listers request 1-2 new computers at about $600-800.  (Note: software is not likely to be included for this price.)</t>
  </si>
  <si>
    <t xml:space="preserve"> 12/1 update--decided to do level funding based on FY12 actuals, which is 8 hrs per week per person. (Orig. 10 hrs per person, per week.)</t>
  </si>
  <si>
    <t>4022 so far this year, annual.  Professional Association dues &amp; Sub to NEMRC (computer back up), Marshall &amp; Swifts cost tables: VLCT dues (FY actual 1518); Windham Regional Commission dues.  12/1-- Increased after researching last year's expenditures.</t>
  </si>
  <si>
    <t>Copiers, NEMRC (580 annual); FY2013 - Modem fix</t>
  </si>
  <si>
    <t>Check with Lewis or Cliff</t>
  </si>
  <si>
    <t>Green Up Day now part of Other Services warned separately</t>
  </si>
  <si>
    <t>Potential ongoing debris issues</t>
  </si>
  <si>
    <t>Est. for interest.  Confirm with Patty</t>
  </si>
  <si>
    <t>Confirm with Lewis, no budget needed</t>
  </si>
  <si>
    <t>Ask Lewis / PACIF / VLCT if we get new estimates.  Based on FY12 actuals.</t>
  </si>
  <si>
    <t>Spent FY2012</t>
  </si>
  <si>
    <t>FY 2013 YTD</t>
  </si>
  <si>
    <t>Roof in FY14?  Fuel oil containment, etc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</si>
</sst>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%"/>
    <numFmt numFmtId="173" formatCode="0.000"/>
    <numFmt numFmtId="174" formatCode="0.000000"/>
    <numFmt numFmtId="175" formatCode="0.00000"/>
    <numFmt numFmtId="176" formatCode="0.0000"/>
    <numFmt numFmtId="177" formatCode="0.0"/>
    <numFmt numFmtId="178" formatCode="0.00000000"/>
    <numFmt numFmtId="179" formatCode="0.0000000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0.000%"/>
    <numFmt numFmtId="183" formatCode="#,##0.00;\-#,##0.00"/>
  </numFmts>
  <fonts count="6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trike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9" fontId="0" fillId="0" borderId="0" xfId="6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wrapText="1"/>
    </xf>
    <xf numFmtId="44" fontId="0" fillId="0" borderId="11" xfId="44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4" fontId="1" fillId="0" borderId="11" xfId="44" applyFont="1" applyBorder="1" applyAlignment="1">
      <alignment/>
    </xf>
    <xf numFmtId="6" fontId="0" fillId="0" borderId="11" xfId="0" applyNumberFormat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44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ill="1" applyBorder="1" applyAlignment="1">
      <alignment wrapText="1"/>
    </xf>
    <xf numFmtId="17" fontId="0" fillId="0" borderId="11" xfId="0" applyNumberFormat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11" fillId="0" borderId="11" xfId="0" applyFont="1" applyBorder="1" applyAlignment="1">
      <alignment/>
    </xf>
    <xf numFmtId="166" fontId="0" fillId="0" borderId="11" xfId="44" applyNumberFormat="1" applyFont="1" applyBorder="1" applyAlignment="1">
      <alignment/>
    </xf>
    <xf numFmtId="166" fontId="0" fillId="35" borderId="11" xfId="44" applyNumberFormat="1" applyFont="1" applyFill="1" applyBorder="1" applyAlignment="1">
      <alignment/>
    </xf>
    <xf numFmtId="166" fontId="1" fillId="34" borderId="11" xfId="44" applyNumberFormat="1" applyFont="1" applyFill="1" applyBorder="1" applyAlignment="1">
      <alignment/>
    </xf>
    <xf numFmtId="166" fontId="0" fillId="0" borderId="11" xfId="44" applyNumberFormat="1" applyFont="1" applyFill="1" applyBorder="1" applyAlignment="1">
      <alignment/>
    </xf>
    <xf numFmtId="166" fontId="0" fillId="0" borderId="19" xfId="44" applyNumberFormat="1" applyFont="1" applyFill="1" applyBorder="1" applyAlignment="1">
      <alignment/>
    </xf>
    <xf numFmtId="166" fontId="0" fillId="34" borderId="11" xfId="44" applyNumberFormat="1" applyFont="1" applyFill="1" applyBorder="1" applyAlignment="1">
      <alignment/>
    </xf>
    <xf numFmtId="10" fontId="0" fillId="0" borderId="0" xfId="44" applyNumberFormat="1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33" borderId="0" xfId="60" applyFont="1" applyFill="1" applyAlignment="1">
      <alignment/>
    </xf>
    <xf numFmtId="0" fontId="1" fillId="0" borderId="11" xfId="0" applyFont="1" applyFill="1" applyBorder="1" applyAlignment="1">
      <alignment/>
    </xf>
    <xf numFmtId="44" fontId="0" fillId="0" borderId="11" xfId="0" applyNumberFormat="1" applyBorder="1" applyAlignment="1">
      <alignment horizontal="left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6" fontId="0" fillId="0" borderId="0" xfId="44" applyNumberFormat="1" applyFont="1" applyAlignment="1">
      <alignment/>
    </xf>
    <xf numFmtId="0" fontId="1" fillId="0" borderId="20" xfId="0" applyFont="1" applyBorder="1" applyAlignment="1">
      <alignment/>
    </xf>
    <xf numFmtId="166" fontId="11" fillId="0" borderId="20" xfId="44" applyNumberFormat="1" applyFont="1" applyBorder="1" applyAlignment="1">
      <alignment/>
    </xf>
    <xf numFmtId="0" fontId="0" fillId="0" borderId="20" xfId="0" applyBorder="1" applyAlignment="1">
      <alignment wrapText="1"/>
    </xf>
    <xf numFmtId="166" fontId="11" fillId="0" borderId="12" xfId="44" applyNumberFormat="1" applyFont="1" applyBorder="1" applyAlignment="1">
      <alignment/>
    </xf>
    <xf numFmtId="0" fontId="0" fillId="0" borderId="21" xfId="0" applyBorder="1" applyAlignment="1">
      <alignment wrapText="1"/>
    </xf>
    <xf numFmtId="0" fontId="1" fillId="0" borderId="22" xfId="0" applyFont="1" applyBorder="1" applyAlignment="1">
      <alignment wrapText="1"/>
    </xf>
    <xf numFmtId="44" fontId="0" fillId="0" borderId="22" xfId="44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2" xfId="0" applyBorder="1" applyAlignment="1">
      <alignment/>
    </xf>
    <xf numFmtId="16" fontId="0" fillId="0" borderId="22" xfId="0" applyNumberFormat="1" applyBorder="1" applyAlignment="1">
      <alignment/>
    </xf>
    <xf numFmtId="0" fontId="1" fillId="0" borderId="21" xfId="0" applyFont="1" applyBorder="1" applyAlignment="1">
      <alignment wrapText="1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35" borderId="23" xfId="0" applyFont="1" applyFill="1" applyBorder="1" applyAlignment="1">
      <alignment wrapText="1"/>
    </xf>
    <xf numFmtId="0" fontId="1" fillId="0" borderId="24" xfId="0" applyFont="1" applyBorder="1" applyAlignment="1">
      <alignment/>
    </xf>
    <xf numFmtId="0" fontId="0" fillId="34" borderId="25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8" fillId="34" borderId="11" xfId="0" applyFont="1" applyFill="1" applyBorder="1" applyAlignment="1">
      <alignment/>
    </xf>
    <xf numFmtId="164" fontId="0" fillId="33" borderId="11" xfId="60" applyNumberFormat="1" applyFont="1" applyFill="1" applyBorder="1" applyAlignment="1">
      <alignment wrapText="1"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44" fontId="1" fillId="0" borderId="22" xfId="44" applyFont="1" applyBorder="1" applyAlignment="1">
      <alignment/>
    </xf>
    <xf numFmtId="44" fontId="0" fillId="0" borderId="22" xfId="44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44" fontId="1" fillId="0" borderId="21" xfId="44" applyFont="1" applyBorder="1" applyAlignment="1">
      <alignment/>
    </xf>
    <xf numFmtId="44" fontId="0" fillId="0" borderId="21" xfId="44" applyFont="1" applyBorder="1" applyAlignment="1">
      <alignment/>
    </xf>
    <xf numFmtId="44" fontId="1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0" fontId="8" fillId="0" borderId="30" xfId="0" applyFont="1" applyFill="1" applyBorder="1" applyAlignment="1">
      <alignment/>
    </xf>
    <xf numFmtId="44" fontId="0" fillId="0" borderId="24" xfId="44" applyFont="1" applyBorder="1" applyAlignment="1">
      <alignment/>
    </xf>
    <xf numFmtId="0" fontId="0" fillId="0" borderId="25" xfId="0" applyBorder="1" applyAlignment="1">
      <alignment/>
    </xf>
    <xf numFmtId="0" fontId="0" fillId="36" borderId="11" xfId="0" applyFill="1" applyBorder="1" applyAlignment="1">
      <alignment wrapText="1"/>
    </xf>
    <xf numFmtId="44" fontId="0" fillId="33" borderId="22" xfId="44" applyFont="1" applyFill="1" applyBorder="1" applyAlignment="1">
      <alignment/>
    </xf>
    <xf numFmtId="44" fontId="1" fillId="33" borderId="21" xfId="44" applyFont="1" applyFill="1" applyBorder="1" applyAlignment="1">
      <alignment/>
    </xf>
    <xf numFmtId="44" fontId="1" fillId="33" borderId="11" xfId="44" applyFont="1" applyFill="1" applyBorder="1" applyAlignment="1">
      <alignment/>
    </xf>
    <xf numFmtId="44" fontId="1" fillId="0" borderId="11" xfId="44" applyFont="1" applyBorder="1" applyAlignment="1">
      <alignment horizontal="left"/>
    </xf>
    <xf numFmtId="0" fontId="0" fillId="0" borderId="0" xfId="0" applyBorder="1" applyAlignment="1">
      <alignment wrapText="1"/>
    </xf>
    <xf numFmtId="44" fontId="1" fillId="0" borderId="24" xfId="44" applyFont="1" applyBorder="1" applyAlignment="1">
      <alignment/>
    </xf>
    <xf numFmtId="44" fontId="1" fillId="34" borderId="24" xfId="44" applyNumberFormat="1" applyFont="1" applyFill="1" applyBorder="1" applyAlignment="1">
      <alignment/>
    </xf>
    <xf numFmtId="44" fontId="0" fillId="35" borderId="24" xfId="44" applyNumberFormat="1" applyFont="1" applyFill="1" applyBorder="1" applyAlignment="1">
      <alignment/>
    </xf>
    <xf numFmtId="44" fontId="0" fillId="35" borderId="25" xfId="44" applyNumberFormat="1" applyFont="1" applyFill="1" applyBorder="1" applyAlignment="1">
      <alignment/>
    </xf>
    <xf numFmtId="44" fontId="1" fillId="34" borderId="25" xfId="44" applyNumberFormat="1" applyFont="1" applyFill="1" applyBorder="1" applyAlignment="1">
      <alignment/>
    </xf>
    <xf numFmtId="181" fontId="0" fillId="34" borderId="24" xfId="44" applyNumberFormat="1" applyFont="1" applyFill="1" applyBorder="1" applyAlignment="1">
      <alignment/>
    </xf>
    <xf numFmtId="181" fontId="1" fillId="34" borderId="24" xfId="0" applyNumberFormat="1" applyFont="1" applyFill="1" applyBorder="1" applyAlignment="1">
      <alignment/>
    </xf>
    <xf numFmtId="44" fontId="1" fillId="34" borderId="22" xfId="44" applyNumberFormat="1" applyFont="1" applyFill="1" applyBorder="1" applyAlignment="1">
      <alignment/>
    </xf>
    <xf numFmtId="44" fontId="0" fillId="0" borderId="22" xfId="44" applyNumberFormat="1" applyFont="1" applyBorder="1" applyAlignment="1">
      <alignment/>
    </xf>
    <xf numFmtId="44" fontId="0" fillId="34" borderId="22" xfId="44" applyNumberFormat="1" applyFont="1" applyFill="1" applyBorder="1" applyAlignment="1">
      <alignment/>
    </xf>
    <xf numFmtId="44" fontId="1" fillId="0" borderId="31" xfId="44" applyNumberFormat="1" applyFont="1" applyBorder="1" applyAlignment="1">
      <alignment/>
    </xf>
    <xf numFmtId="44" fontId="1" fillId="0" borderId="32" xfId="44" applyNumberFormat="1" applyFont="1" applyBorder="1" applyAlignment="1">
      <alignment/>
    </xf>
    <xf numFmtId="44" fontId="1" fillId="34" borderId="21" xfId="44" applyNumberFormat="1" applyFont="1" applyFill="1" applyBorder="1" applyAlignment="1">
      <alignment/>
    </xf>
    <xf numFmtId="44" fontId="0" fillId="0" borderId="21" xfId="44" applyNumberFormat="1" applyFont="1" applyBorder="1" applyAlignment="1">
      <alignment/>
    </xf>
    <xf numFmtId="44" fontId="1" fillId="0" borderId="21" xfId="44" applyNumberFormat="1" applyFont="1" applyBorder="1" applyAlignment="1">
      <alignment/>
    </xf>
    <xf numFmtId="44" fontId="0" fillId="0" borderId="21" xfId="44" applyNumberFormat="1" applyFont="1" applyFill="1" applyBorder="1" applyAlignment="1">
      <alignment/>
    </xf>
    <xf numFmtId="44" fontId="0" fillId="34" borderId="21" xfId="44" applyNumberFormat="1" applyFont="1" applyFill="1" applyBorder="1" applyAlignment="1">
      <alignment/>
    </xf>
    <xf numFmtId="44" fontId="1" fillId="34" borderId="21" xfId="0" applyNumberFormat="1" applyFont="1" applyFill="1" applyBorder="1" applyAlignment="1">
      <alignment/>
    </xf>
    <xf numFmtId="44" fontId="1" fillId="0" borderId="33" xfId="44" applyNumberFormat="1" applyFont="1" applyBorder="1" applyAlignment="1">
      <alignment/>
    </xf>
    <xf numFmtId="44" fontId="1" fillId="34" borderId="11" xfId="44" applyNumberFormat="1" applyFont="1" applyFill="1" applyBorder="1" applyAlignment="1">
      <alignment/>
    </xf>
    <xf numFmtId="44" fontId="0" fillId="0" borderId="11" xfId="44" applyNumberFormat="1" applyFont="1" applyBorder="1" applyAlignment="1">
      <alignment/>
    </xf>
    <xf numFmtId="44" fontId="0" fillId="0" borderId="11" xfId="44" applyNumberFormat="1" applyFont="1" applyBorder="1" applyAlignment="1">
      <alignment/>
    </xf>
    <xf numFmtId="44" fontId="0" fillId="0" borderId="11" xfId="44" applyNumberFormat="1" applyFont="1" applyFill="1" applyBorder="1" applyAlignment="1">
      <alignment/>
    </xf>
    <xf numFmtId="44" fontId="0" fillId="0" borderId="11" xfId="0" applyNumberFormat="1" applyBorder="1" applyAlignment="1">
      <alignment wrapText="1"/>
    </xf>
    <xf numFmtId="44" fontId="0" fillId="34" borderId="11" xfId="44" applyNumberFormat="1" applyFont="1" applyFill="1" applyBorder="1" applyAlignment="1">
      <alignment/>
    </xf>
    <xf numFmtId="44" fontId="1" fillId="34" borderId="0" xfId="44" applyNumberFormat="1" applyFont="1" applyFill="1" applyAlignment="1">
      <alignment/>
    </xf>
    <xf numFmtId="44" fontId="1" fillId="0" borderId="20" xfId="44" applyNumberFormat="1" applyFont="1" applyBorder="1" applyAlignment="1">
      <alignment/>
    </xf>
    <xf numFmtId="44" fontId="1" fillId="0" borderId="32" xfId="44" applyFont="1" applyBorder="1" applyAlignment="1">
      <alignment/>
    </xf>
    <xf numFmtId="44" fontId="0" fillId="0" borderId="34" xfId="44" applyFont="1" applyBorder="1" applyAlignment="1">
      <alignment/>
    </xf>
    <xf numFmtId="44" fontId="0" fillId="0" borderId="35" xfId="44" applyFont="1" applyBorder="1" applyAlignment="1">
      <alignment/>
    </xf>
    <xf numFmtId="44" fontId="0" fillId="0" borderId="12" xfId="44" applyFont="1" applyFill="1" applyBorder="1" applyAlignment="1">
      <alignment/>
    </xf>
    <xf numFmtId="44" fontId="0" fillId="0" borderId="11" xfId="44" applyFont="1" applyFill="1" applyBorder="1" applyAlignment="1">
      <alignment/>
    </xf>
    <xf numFmtId="44" fontId="1" fillId="0" borderId="11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1" fillId="33" borderId="24" xfId="44" applyFont="1" applyFill="1" applyBorder="1" applyAlignment="1">
      <alignment/>
    </xf>
    <xf numFmtId="44" fontId="0" fillId="33" borderId="24" xfId="44" applyFont="1" applyFill="1" applyBorder="1" applyAlignment="1">
      <alignment/>
    </xf>
    <xf numFmtId="44" fontId="0" fillId="0" borderId="24" xfId="44" applyFont="1" applyBorder="1" applyAlignment="1">
      <alignment/>
    </xf>
    <xf numFmtId="44" fontId="0" fillId="0" borderId="21" xfId="44" applyFont="1" applyBorder="1" applyAlignment="1">
      <alignment/>
    </xf>
    <xf numFmtId="44" fontId="2" fillId="0" borderId="21" xfId="44" applyFont="1" applyBorder="1" applyAlignment="1">
      <alignment/>
    </xf>
    <xf numFmtId="44" fontId="0" fillId="0" borderId="11" xfId="44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1" fillId="0" borderId="22" xfId="0" applyNumberFormat="1" applyFont="1" applyBorder="1" applyAlignment="1">
      <alignment/>
    </xf>
    <xf numFmtId="6" fontId="0" fillId="0" borderId="0" xfId="0" applyNumberFormat="1" applyAlignment="1">
      <alignment/>
    </xf>
    <xf numFmtId="166" fontId="0" fillId="0" borderId="0" xfId="44" applyNumberFormat="1" applyFont="1" applyAlignment="1">
      <alignment horizontal="left"/>
    </xf>
    <xf numFmtId="166" fontId="0" fillId="0" borderId="0" xfId="44" applyNumberFormat="1" applyFont="1" applyBorder="1" applyAlignment="1">
      <alignment/>
    </xf>
    <xf numFmtId="166" fontId="0" fillId="0" borderId="0" xfId="44" applyNumberFormat="1" applyFont="1" applyFill="1" applyBorder="1" applyAlignment="1">
      <alignment/>
    </xf>
    <xf numFmtId="166" fontId="7" fillId="0" borderId="0" xfId="44" applyNumberFormat="1" applyFont="1" applyAlignment="1">
      <alignment/>
    </xf>
    <xf numFmtId="0" fontId="0" fillId="0" borderId="14" xfId="0" applyFont="1" applyBorder="1" applyAlignment="1">
      <alignment/>
    </xf>
    <xf numFmtId="166" fontId="11" fillId="0" borderId="14" xfId="44" applyNumberFormat="1" applyFont="1" applyBorder="1" applyAlignment="1">
      <alignment/>
    </xf>
    <xf numFmtId="44" fontId="11" fillId="0" borderId="26" xfId="44" applyNumberFormat="1" applyFont="1" applyBorder="1" applyAlignment="1">
      <alignment/>
    </xf>
    <xf numFmtId="44" fontId="11" fillId="0" borderId="28" xfId="44" applyNumberFormat="1" applyFont="1" applyBorder="1" applyAlignment="1">
      <alignment/>
    </xf>
    <xf numFmtId="166" fontId="11" fillId="0" borderId="36" xfId="44" applyNumberFormat="1" applyFont="1" applyBorder="1" applyAlignment="1">
      <alignment/>
    </xf>
    <xf numFmtId="44" fontId="11" fillId="0" borderId="36" xfId="44" applyNumberFormat="1" applyFont="1" applyBorder="1" applyAlignment="1">
      <alignment/>
    </xf>
    <xf numFmtId="44" fontId="1" fillId="0" borderId="37" xfId="44" applyNumberFormat="1" applyFont="1" applyBorder="1" applyAlignment="1">
      <alignment horizontal="left"/>
    </xf>
    <xf numFmtId="44" fontId="1" fillId="0" borderId="38" xfId="44" applyNumberFormat="1" applyFont="1" applyBorder="1" applyAlignment="1">
      <alignment/>
    </xf>
    <xf numFmtId="44" fontId="1" fillId="0" borderId="34" xfId="44" applyNumberFormat="1" applyFont="1" applyBorder="1" applyAlignment="1">
      <alignment/>
    </xf>
    <xf numFmtId="6" fontId="0" fillId="0" borderId="0" xfId="0" applyNumberFormat="1" applyFill="1" applyAlignment="1">
      <alignment/>
    </xf>
    <xf numFmtId="166" fontId="0" fillId="0" borderId="0" xfId="44" applyNumberFormat="1" applyFont="1" applyFill="1" applyAlignment="1">
      <alignment horizontal="left"/>
    </xf>
    <xf numFmtId="44" fontId="1" fillId="34" borderId="24" xfId="44" applyNumberFormat="1" applyFont="1" applyFill="1" applyBorder="1" applyAlignment="1">
      <alignment horizontal="left"/>
    </xf>
    <xf numFmtId="44" fontId="1" fillId="33" borderId="24" xfId="44" applyNumberFormat="1" applyFont="1" applyFill="1" applyBorder="1" applyAlignment="1">
      <alignment/>
    </xf>
    <xf numFmtId="44" fontId="6" fillId="34" borderId="11" xfId="44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44" fontId="11" fillId="0" borderId="15" xfId="44" applyNumberFormat="1" applyFont="1" applyFill="1" applyBorder="1" applyAlignment="1">
      <alignment/>
    </xf>
    <xf numFmtId="44" fontId="11" fillId="0" borderId="39" xfId="44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4" fontId="0" fillId="0" borderId="25" xfId="44" applyFont="1" applyBorder="1" applyAlignment="1">
      <alignment/>
    </xf>
    <xf numFmtId="44" fontId="1" fillId="0" borderId="21" xfId="44" applyFont="1" applyFill="1" applyBorder="1" applyAlignment="1">
      <alignment/>
    </xf>
    <xf numFmtId="44" fontId="1" fillId="0" borderId="24" xfId="44" applyFont="1" applyFill="1" applyBorder="1" applyAlignment="1">
      <alignment/>
    </xf>
    <xf numFmtId="44" fontId="11" fillId="0" borderId="23" xfId="44" applyNumberFormat="1" applyFont="1" applyFill="1" applyBorder="1" applyAlignment="1">
      <alignment horizontal="left"/>
    </xf>
    <xf numFmtId="44" fontId="11" fillId="0" borderId="30" xfId="44" applyNumberFormat="1" applyFont="1" applyFill="1" applyBorder="1" applyAlignment="1">
      <alignment horizontal="left"/>
    </xf>
    <xf numFmtId="44" fontId="0" fillId="0" borderId="24" xfId="44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44" fontId="1" fillId="0" borderId="24" xfId="0" applyNumberFormat="1" applyFont="1" applyBorder="1" applyAlignment="1">
      <alignment/>
    </xf>
    <xf numFmtId="44" fontId="1" fillId="0" borderId="14" xfId="44" applyNumberFormat="1" applyFont="1" applyBorder="1" applyAlignment="1">
      <alignment/>
    </xf>
    <xf numFmtId="44" fontId="1" fillId="0" borderId="40" xfId="44" applyFont="1" applyBorder="1" applyAlignment="1">
      <alignment/>
    </xf>
    <xf numFmtId="0" fontId="1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1" fillId="0" borderId="31" xfId="44" applyFont="1" applyBorder="1" applyAlignment="1">
      <alignment/>
    </xf>
    <xf numFmtId="44" fontId="1" fillId="0" borderId="37" xfId="44" applyFont="1" applyFill="1" applyBorder="1" applyAlignment="1">
      <alignment/>
    </xf>
    <xf numFmtId="44" fontId="1" fillId="0" borderId="33" xfId="44" applyFont="1" applyBorder="1" applyAlignment="1">
      <alignment/>
    </xf>
    <xf numFmtId="44" fontId="1" fillId="0" borderId="20" xfId="44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1" fillId="0" borderId="41" xfId="0" applyNumberFormat="1" applyFont="1" applyBorder="1" applyAlignment="1">
      <alignment/>
    </xf>
    <xf numFmtId="0" fontId="0" fillId="0" borderId="43" xfId="0" applyBorder="1" applyAlignment="1">
      <alignment/>
    </xf>
    <xf numFmtId="44" fontId="0" fillId="0" borderId="44" xfId="44" applyFont="1" applyFill="1" applyBorder="1" applyAlignment="1">
      <alignment/>
    </xf>
    <xf numFmtId="44" fontId="0" fillId="0" borderId="10" xfId="44" applyFont="1" applyBorder="1" applyAlignment="1">
      <alignment/>
    </xf>
    <xf numFmtId="44" fontId="0" fillId="0" borderId="45" xfId="44" applyFont="1" applyFill="1" applyBorder="1" applyAlignment="1">
      <alignment/>
    </xf>
    <xf numFmtId="44" fontId="0" fillId="0" borderId="46" xfId="44" applyFont="1" applyFill="1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44" fontId="1" fillId="0" borderId="48" xfId="0" applyNumberFormat="1" applyFont="1" applyBorder="1" applyAlignment="1">
      <alignment/>
    </xf>
    <xf numFmtId="44" fontId="1" fillId="0" borderId="49" xfId="0" applyNumberFormat="1" applyFont="1" applyBorder="1" applyAlignment="1">
      <alignment/>
    </xf>
    <xf numFmtId="44" fontId="1" fillId="0" borderId="50" xfId="0" applyNumberFormat="1" applyFont="1" applyBorder="1" applyAlignment="1">
      <alignment/>
    </xf>
    <xf numFmtId="166" fontId="0" fillId="0" borderId="0" xfId="44" applyNumberFormat="1" applyFont="1" applyFill="1" applyAlignment="1">
      <alignment/>
    </xf>
    <xf numFmtId="49" fontId="6" fillId="0" borderId="0" xfId="0" applyNumberFormat="1" applyFont="1" applyAlignment="1">
      <alignment/>
    </xf>
    <xf numFmtId="166" fontId="1" fillId="0" borderId="11" xfId="44" applyNumberFormat="1" applyFont="1" applyFill="1" applyBorder="1" applyAlignment="1">
      <alignment/>
    </xf>
    <xf numFmtId="44" fontId="1" fillId="0" borderId="0" xfId="44" applyNumberFormat="1" applyFont="1" applyFill="1" applyAlignment="1">
      <alignment/>
    </xf>
    <xf numFmtId="44" fontId="1" fillId="0" borderId="24" xfId="44" applyNumberFormat="1" applyFont="1" applyFill="1" applyBorder="1" applyAlignment="1">
      <alignment/>
    </xf>
    <xf numFmtId="44" fontId="1" fillId="0" borderId="21" xfId="44" applyNumberFormat="1" applyFont="1" applyFill="1" applyBorder="1" applyAlignment="1">
      <alignment/>
    </xf>
    <xf numFmtId="44" fontId="1" fillId="0" borderId="11" xfId="44" applyNumberFormat="1" applyFont="1" applyFill="1" applyBorder="1" applyAlignment="1">
      <alignment/>
    </xf>
    <xf numFmtId="44" fontId="1" fillId="37" borderId="21" xfId="44" applyNumberFormat="1" applyFont="1" applyFill="1" applyBorder="1" applyAlignment="1">
      <alignment/>
    </xf>
    <xf numFmtId="44" fontId="54" fillId="35" borderId="24" xfId="44" applyNumberFormat="1" applyFont="1" applyFill="1" applyBorder="1" applyAlignment="1">
      <alignment/>
    </xf>
    <xf numFmtId="44" fontId="55" fillId="0" borderId="51" xfId="44" applyFont="1" applyFill="1" applyBorder="1" applyAlignment="1">
      <alignment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4" fontId="11" fillId="0" borderId="38" xfId="44" applyNumberFormat="1" applyFont="1" applyFill="1" applyBorder="1" applyAlignment="1">
      <alignment/>
    </xf>
    <xf numFmtId="44" fontId="11" fillId="0" borderId="52" xfId="44" applyNumberFormat="1" applyFont="1" applyFill="1" applyBorder="1" applyAlignment="1">
      <alignment/>
    </xf>
    <xf numFmtId="44" fontId="1" fillId="0" borderId="12" xfId="44" applyNumberFormat="1" applyFont="1" applyBorder="1" applyAlignment="1">
      <alignment/>
    </xf>
    <xf numFmtId="4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11" xfId="44" applyFont="1" applyBorder="1" applyAlignment="1">
      <alignment wrapText="1"/>
    </xf>
    <xf numFmtId="0" fontId="0" fillId="0" borderId="0" xfId="0" applyFont="1" applyAlignment="1">
      <alignment wrapText="1"/>
    </xf>
    <xf numFmtId="0" fontId="0" fillId="37" borderId="11" xfId="0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44" fontId="0" fillId="34" borderId="0" xfId="0" applyNumberFormat="1" applyFill="1" applyAlignment="1">
      <alignment/>
    </xf>
    <xf numFmtId="44" fontId="0" fillId="37" borderId="11" xfId="44" applyNumberFormat="1" applyFont="1" applyFill="1" applyBorder="1" applyAlignment="1">
      <alignment/>
    </xf>
    <xf numFmtId="44" fontId="0" fillId="35" borderId="24" xfId="44" applyNumberFormat="1" applyFont="1" applyFill="1" applyBorder="1" applyAlignment="1">
      <alignment/>
    </xf>
    <xf numFmtId="49" fontId="56" fillId="0" borderId="0" xfId="57" applyNumberFormat="1" applyFont="1">
      <alignment/>
      <protection/>
    </xf>
    <xf numFmtId="183" fontId="57" fillId="0" borderId="0" xfId="57" applyNumberFormat="1" applyFont="1">
      <alignment/>
      <protection/>
    </xf>
    <xf numFmtId="183" fontId="57" fillId="0" borderId="10" xfId="57" applyNumberFormat="1" applyFont="1" applyBorder="1">
      <alignment/>
      <protection/>
    </xf>
    <xf numFmtId="44" fontId="0" fillId="35" borderId="51" xfId="44" applyNumberFormat="1" applyFont="1" applyFill="1" applyBorder="1" applyAlignment="1">
      <alignment/>
    </xf>
    <xf numFmtId="44" fontId="0" fillId="7" borderId="24" xfId="44" applyNumberFormat="1" applyFont="1" applyFill="1" applyBorder="1" applyAlignment="1">
      <alignment/>
    </xf>
    <xf numFmtId="44" fontId="0" fillId="35" borderId="24" xfId="44" applyFont="1" applyFill="1" applyBorder="1" applyAlignment="1">
      <alignment/>
    </xf>
    <xf numFmtId="44" fontId="0" fillId="7" borderId="24" xfId="44" applyNumberFormat="1" applyFont="1" applyFill="1" applyBorder="1" applyAlignment="1">
      <alignment/>
    </xf>
    <xf numFmtId="44" fontId="0" fillId="0" borderId="22" xfId="44" applyNumberFormat="1" applyFont="1" applyFill="1" applyBorder="1" applyAlignment="1">
      <alignment/>
    </xf>
    <xf numFmtId="44" fontId="0" fillId="0" borderId="24" xfId="44" applyNumberFormat="1" applyFont="1" applyFill="1" applyBorder="1" applyAlignment="1">
      <alignment/>
    </xf>
    <xf numFmtId="44" fontId="0" fillId="0" borderId="1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44" fontId="58" fillId="33" borderId="24" xfId="44" applyNumberFormat="1" applyFont="1" applyFill="1" applyBorder="1" applyAlignment="1">
      <alignment/>
    </xf>
    <xf numFmtId="0" fontId="59" fillId="34" borderId="0" xfId="0" applyFont="1" applyFill="1" applyAlignment="1">
      <alignment/>
    </xf>
    <xf numFmtId="0" fontId="59" fillId="0" borderId="0" xfId="0" applyFont="1" applyFill="1" applyAlignment="1">
      <alignment/>
    </xf>
    <xf numFmtId="44" fontId="0" fillId="37" borderId="11" xfId="44" applyNumberFormat="1" applyFont="1" applyFill="1" applyBorder="1" applyAlignment="1">
      <alignment/>
    </xf>
    <xf numFmtId="44" fontId="1" fillId="37" borderId="24" xfId="44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38" borderId="28" xfId="0" applyFill="1" applyBorder="1" applyAlignment="1">
      <alignment/>
    </xf>
    <xf numFmtId="0" fontId="1" fillId="38" borderId="29" xfId="0" applyFont="1" applyFill="1" applyBorder="1" applyAlignment="1">
      <alignment/>
    </xf>
    <xf numFmtId="44" fontId="0" fillId="38" borderId="35" xfId="44" applyFont="1" applyFill="1" applyBorder="1" applyAlignment="1">
      <alignment/>
    </xf>
    <xf numFmtId="44" fontId="0" fillId="38" borderId="21" xfId="44" applyFont="1" applyFill="1" applyBorder="1" applyAlignment="1">
      <alignment/>
    </xf>
    <xf numFmtId="44" fontId="1" fillId="38" borderId="21" xfId="44" applyFont="1" applyFill="1" applyBorder="1" applyAlignment="1">
      <alignment/>
    </xf>
    <xf numFmtId="44" fontId="0" fillId="38" borderId="21" xfId="44" applyFont="1" applyFill="1" applyBorder="1" applyAlignment="1">
      <alignment/>
    </xf>
    <xf numFmtId="44" fontId="2" fillId="38" borderId="21" xfId="44" applyFont="1" applyFill="1" applyBorder="1" applyAlignment="1">
      <alignment/>
    </xf>
    <xf numFmtId="44" fontId="1" fillId="38" borderId="33" xfId="44" applyFont="1" applyFill="1" applyBorder="1" applyAlignment="1">
      <alignment/>
    </xf>
    <xf numFmtId="3" fontId="1" fillId="38" borderId="41" xfId="0" applyNumberFormat="1" applyFont="1" applyFill="1" applyBorder="1" applyAlignment="1">
      <alignment/>
    </xf>
    <xf numFmtId="44" fontId="0" fillId="38" borderId="0" xfId="44" applyFont="1" applyFill="1" applyBorder="1" applyAlignment="1">
      <alignment/>
    </xf>
    <xf numFmtId="44" fontId="0" fillId="38" borderId="10" xfId="44" applyFont="1" applyFill="1" applyBorder="1" applyAlignment="1">
      <alignment/>
    </xf>
    <xf numFmtId="44" fontId="1" fillId="38" borderId="48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53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28"/>
  <sheetViews>
    <sheetView zoomScalePageLayoutView="0" workbookViewId="0" topLeftCell="A1">
      <pane ySplit="1" topLeftCell="A21" activePane="bottomLeft" state="frozen"/>
      <selection pane="topLeft" activeCell="A1" sqref="A1"/>
      <selection pane="bottomLeft" activeCell="J93" sqref="J93"/>
    </sheetView>
  </sheetViews>
  <sheetFormatPr defaultColWidth="9.140625" defaultRowHeight="12.75" outlineLevelRow="1"/>
  <cols>
    <col min="1" max="1" width="18.7109375" style="0" customWidth="1"/>
    <col min="2" max="2" width="32.7109375" style="0" customWidth="1"/>
    <col min="3" max="3" width="12.7109375" style="0" hidden="1" customWidth="1"/>
    <col min="4" max="4" width="12.28125" style="0" bestFit="1" customWidth="1"/>
    <col min="5" max="5" width="12.28125" style="72" bestFit="1" customWidth="1"/>
    <col min="6" max="6" width="12.28125" style="0" bestFit="1" customWidth="1"/>
    <col min="7" max="7" width="12.28125" style="0" customWidth="1"/>
    <col min="8" max="8" width="14.00390625" style="0" bestFit="1" customWidth="1"/>
    <col min="9" max="9" width="15.421875" style="0" customWidth="1"/>
    <col min="10" max="10" width="14.00390625" style="0" customWidth="1"/>
    <col min="11" max="11" width="19.28125" style="5" customWidth="1"/>
    <col min="12" max="12" width="12.57421875" style="0" customWidth="1"/>
    <col min="15" max="15" width="10.28125" style="0" bestFit="1" customWidth="1"/>
    <col min="16" max="16" width="12.421875" style="0" customWidth="1"/>
  </cols>
  <sheetData>
    <row r="1" spans="1:11" ht="25.5">
      <c r="A1" s="7" t="s">
        <v>242</v>
      </c>
      <c r="B1" s="7" t="s">
        <v>0</v>
      </c>
      <c r="C1" s="7" t="s">
        <v>100</v>
      </c>
      <c r="D1" s="60" t="s">
        <v>123</v>
      </c>
      <c r="E1" s="68" t="s">
        <v>103</v>
      </c>
      <c r="F1" s="65" t="s">
        <v>124</v>
      </c>
      <c r="G1" s="68" t="s">
        <v>248</v>
      </c>
      <c r="H1" s="29" t="s">
        <v>102</v>
      </c>
      <c r="I1" s="29" t="s">
        <v>251</v>
      </c>
      <c r="J1" s="29" t="s">
        <v>252</v>
      </c>
      <c r="K1" s="29" t="s">
        <v>101</v>
      </c>
    </row>
    <row r="2" spans="1:11" ht="12.75" outlineLevel="1">
      <c r="A2" s="8">
        <v>6110</v>
      </c>
      <c r="B2" s="8" t="s">
        <v>1</v>
      </c>
      <c r="C2" s="39">
        <v>4800</v>
      </c>
      <c r="D2" s="102"/>
      <c r="E2" s="96">
        <v>3600</v>
      </c>
      <c r="F2" s="107">
        <v>5400</v>
      </c>
      <c r="G2" s="217">
        <v>3600</v>
      </c>
      <c r="H2" s="114">
        <f>1800*3</f>
        <v>5400</v>
      </c>
      <c r="I2" s="114">
        <v>600</v>
      </c>
      <c r="J2" s="114">
        <f>5400</f>
        <v>5400</v>
      </c>
      <c r="K2" s="10"/>
    </row>
    <row r="3" spans="1:11" ht="12.75" outlineLevel="1">
      <c r="A3" s="8">
        <v>6111</v>
      </c>
      <c r="B3" s="17" t="s">
        <v>2</v>
      </c>
      <c r="C3" s="39">
        <v>1375</v>
      </c>
      <c r="D3" s="102"/>
      <c r="E3" s="96">
        <v>667.13</v>
      </c>
      <c r="F3" s="107">
        <v>1000</v>
      </c>
      <c r="G3" s="217">
        <v>0</v>
      </c>
      <c r="H3" s="114">
        <v>0</v>
      </c>
      <c r="I3" s="114">
        <v>0</v>
      </c>
      <c r="J3" s="114">
        <v>0</v>
      </c>
      <c r="K3" s="10"/>
    </row>
    <row r="4" spans="1:13" ht="12.75" outlineLevel="1">
      <c r="A4" s="8">
        <v>6112</v>
      </c>
      <c r="B4" s="17" t="s">
        <v>3</v>
      </c>
      <c r="C4" s="39">
        <v>1800</v>
      </c>
      <c r="D4" s="102"/>
      <c r="E4" s="96">
        <v>1800</v>
      </c>
      <c r="F4" s="107">
        <v>1800</v>
      </c>
      <c r="G4" s="217">
        <v>1725</v>
      </c>
      <c r="H4" s="114">
        <v>2000</v>
      </c>
      <c r="I4" s="114">
        <v>450</v>
      </c>
      <c r="J4" s="114">
        <v>2000</v>
      </c>
      <c r="K4" s="10"/>
      <c r="M4" s="194"/>
    </row>
    <row r="5" spans="1:14" ht="25.5" outlineLevel="1">
      <c r="A5" s="8">
        <v>6120</v>
      </c>
      <c r="B5" s="8" t="s">
        <v>4</v>
      </c>
      <c r="C5" s="39">
        <v>17645.28</v>
      </c>
      <c r="D5" s="102"/>
      <c r="E5" s="96">
        <v>18000</v>
      </c>
      <c r="F5" s="107">
        <v>18000</v>
      </c>
      <c r="G5" s="217">
        <v>18000</v>
      </c>
      <c r="H5" s="114">
        <v>18000</v>
      </c>
      <c r="I5" s="114">
        <v>7500</v>
      </c>
      <c r="J5" s="114">
        <v>18000</v>
      </c>
      <c r="L5" s="169" t="s">
        <v>254</v>
      </c>
      <c r="M5" s="210" t="s">
        <v>253</v>
      </c>
      <c r="N5" s="194" t="s">
        <v>255</v>
      </c>
    </row>
    <row r="6" spans="1:16" ht="38.25" outlineLevel="1">
      <c r="A6" s="9">
        <v>6121</v>
      </c>
      <c r="B6" s="17" t="s">
        <v>5</v>
      </c>
      <c r="C6" s="39">
        <v>4203</v>
      </c>
      <c r="D6" s="102"/>
      <c r="E6" s="96">
        <v>1177</v>
      </c>
      <c r="F6" s="107">
        <v>3275</v>
      </c>
      <c r="G6" s="217">
        <v>1296</v>
      </c>
      <c r="H6" s="114">
        <v>3275</v>
      </c>
      <c r="I6" s="114">
        <v>540</v>
      </c>
      <c r="J6" s="114">
        <v>2520</v>
      </c>
      <c r="K6" s="212" t="s">
        <v>256</v>
      </c>
      <c r="L6" s="211">
        <v>12</v>
      </c>
      <c r="M6" s="209">
        <f>H6/L6</f>
        <v>272.9166666666667</v>
      </c>
      <c r="N6">
        <f>(M6/24)/52</f>
        <v>0.21868322649572652</v>
      </c>
      <c r="P6" s="208">
        <f>(2.5*7*L6)*12</f>
        <v>2520</v>
      </c>
    </row>
    <row r="7" spans="1:15" ht="102" outlineLevel="1">
      <c r="A7" s="9">
        <v>6130</v>
      </c>
      <c r="B7" s="17" t="s">
        <v>6</v>
      </c>
      <c r="C7" s="39">
        <v>2112</v>
      </c>
      <c r="D7" s="102"/>
      <c r="E7" s="96">
        <v>14496</v>
      </c>
      <c r="F7" s="107">
        <f>12000</f>
        <v>12000</v>
      </c>
      <c r="G7" s="217">
        <v>20992</v>
      </c>
      <c r="H7" s="114">
        <v>26000</v>
      </c>
      <c r="I7" s="114">
        <v>5720</v>
      </c>
      <c r="J7" s="114">
        <v>21000</v>
      </c>
      <c r="K7" s="212" t="s">
        <v>298</v>
      </c>
      <c r="L7" s="209">
        <f>H7/16</f>
        <v>1625</v>
      </c>
      <c r="M7">
        <f>L7/52</f>
        <v>31.25</v>
      </c>
      <c r="O7">
        <f>16*8*3*52</f>
        <v>19968</v>
      </c>
    </row>
    <row r="8" spans="1:11" ht="12.75" outlineLevel="1">
      <c r="A8" s="9">
        <v>6140</v>
      </c>
      <c r="B8" s="17" t="s">
        <v>7</v>
      </c>
      <c r="C8" s="39">
        <v>831</v>
      </c>
      <c r="D8" s="102"/>
      <c r="E8" s="96">
        <v>1008</v>
      </c>
      <c r="F8" s="107">
        <v>850</v>
      </c>
      <c r="G8" s="217">
        <v>669</v>
      </c>
      <c r="H8" s="114">
        <f>850</f>
        <v>850</v>
      </c>
      <c r="I8" s="114">
        <v>0</v>
      </c>
      <c r="J8" s="114">
        <v>850</v>
      </c>
      <c r="K8" s="10"/>
    </row>
    <row r="9" spans="1:12" ht="38.25" outlineLevel="1">
      <c r="A9" s="9">
        <v>6150</v>
      </c>
      <c r="B9" s="194" t="s">
        <v>257</v>
      </c>
      <c r="C9" s="39"/>
      <c r="D9" s="102"/>
      <c r="E9" s="96"/>
      <c r="F9" s="107">
        <v>0</v>
      </c>
      <c r="G9" s="222">
        <v>12206</v>
      </c>
      <c r="H9" s="114"/>
      <c r="I9" s="114">
        <v>1800</v>
      </c>
      <c r="J9" s="114">
        <f>I9*3</f>
        <v>5400</v>
      </c>
      <c r="K9" s="169" t="s">
        <v>260</v>
      </c>
      <c r="L9" s="214">
        <v>20</v>
      </c>
    </row>
    <row r="10" spans="1:11" ht="25.5" outlineLevel="1">
      <c r="A10" s="9">
        <v>6151</v>
      </c>
      <c r="B10" s="194" t="s">
        <v>258</v>
      </c>
      <c r="C10" s="39"/>
      <c r="D10" s="102"/>
      <c r="E10" s="96"/>
      <c r="F10" s="107">
        <v>0</v>
      </c>
      <c r="G10" s="222">
        <v>8600</v>
      </c>
      <c r="H10" s="114"/>
      <c r="I10" s="114">
        <v>1856</v>
      </c>
      <c r="J10" s="114">
        <v>0</v>
      </c>
      <c r="K10" s="169" t="s">
        <v>261</v>
      </c>
    </row>
    <row r="11" spans="1:11" ht="12.75" outlineLevel="1">
      <c r="A11" s="9">
        <v>6152</v>
      </c>
      <c r="B11" s="194" t="s">
        <v>276</v>
      </c>
      <c r="C11" s="39"/>
      <c r="D11" s="102"/>
      <c r="E11" s="96"/>
      <c r="F11" s="107"/>
      <c r="G11" s="222">
        <v>5898.14</v>
      </c>
      <c r="H11" s="114"/>
      <c r="I11" s="114"/>
      <c r="J11" s="114"/>
      <c r="K11" s="169"/>
    </row>
    <row r="12" spans="1:11" ht="12.75" outlineLevel="1">
      <c r="A12" s="9">
        <v>6153</v>
      </c>
      <c r="B12" s="194" t="s">
        <v>279</v>
      </c>
      <c r="C12" s="39"/>
      <c r="D12" s="102"/>
      <c r="E12" s="96"/>
      <c r="F12" s="107"/>
      <c r="G12" s="222">
        <v>2007.19</v>
      </c>
      <c r="H12" s="114"/>
      <c r="I12" s="114"/>
      <c r="J12" s="114"/>
      <c r="K12" s="169"/>
    </row>
    <row r="13" spans="1:11" ht="12.75" outlineLevel="1">
      <c r="A13" s="9">
        <v>6154</v>
      </c>
      <c r="B13" s="194" t="s">
        <v>277</v>
      </c>
      <c r="C13" s="39"/>
      <c r="D13" s="102"/>
      <c r="E13" s="96"/>
      <c r="F13" s="107"/>
      <c r="G13" s="222">
        <v>925</v>
      </c>
      <c r="H13" s="114"/>
      <c r="I13" s="114"/>
      <c r="J13" s="114"/>
      <c r="K13" s="169"/>
    </row>
    <row r="14" spans="1:11" ht="12.75" outlineLevel="1">
      <c r="A14" s="9">
        <v>6155</v>
      </c>
      <c r="B14" s="194" t="s">
        <v>278</v>
      </c>
      <c r="C14" s="39"/>
      <c r="D14" s="102"/>
      <c r="E14" s="96"/>
      <c r="F14" s="107"/>
      <c r="G14" s="222">
        <v>2270.64</v>
      </c>
      <c r="H14" s="114"/>
      <c r="I14" s="114"/>
      <c r="J14" s="114"/>
      <c r="K14" s="169"/>
    </row>
    <row r="15" spans="1:11" ht="12.75" outlineLevel="1">
      <c r="A15" s="9">
        <v>6160</v>
      </c>
      <c r="B15" s="8" t="s">
        <v>8</v>
      </c>
      <c r="C15" s="39">
        <v>2500</v>
      </c>
      <c r="D15" s="102"/>
      <c r="E15" s="96">
        <v>3500</v>
      </c>
      <c r="F15" s="107">
        <v>2500</v>
      </c>
      <c r="G15" s="217">
        <v>2500</v>
      </c>
      <c r="H15" s="114">
        <f>1500+1000+1000</f>
        <v>3500</v>
      </c>
      <c r="I15" s="114"/>
      <c r="J15" s="114">
        <f>3500</f>
        <v>3500</v>
      </c>
      <c r="K15" s="10"/>
    </row>
    <row r="16" spans="1:12" ht="25.5" outlineLevel="1">
      <c r="A16" s="9">
        <v>6170</v>
      </c>
      <c r="B16" s="213" t="s">
        <v>259</v>
      </c>
      <c r="C16" s="39"/>
      <c r="D16" s="102"/>
      <c r="E16" s="96"/>
      <c r="F16" s="107"/>
      <c r="G16" s="221">
        <v>192</v>
      </c>
      <c r="H16" s="114"/>
      <c r="I16" s="114">
        <v>456</v>
      </c>
      <c r="J16" s="114">
        <v>0</v>
      </c>
      <c r="K16" s="169" t="s">
        <v>261</v>
      </c>
      <c r="L16" s="210" t="s">
        <v>262</v>
      </c>
    </row>
    <row r="17" spans="1:12" s="33" customFormat="1" ht="12.75">
      <c r="A17" s="32" t="s">
        <v>149</v>
      </c>
      <c r="B17" s="32" t="s">
        <v>146</v>
      </c>
      <c r="C17" s="41">
        <v>35266.28</v>
      </c>
      <c r="D17" s="101">
        <v>49000</v>
      </c>
      <c r="E17" s="156">
        <f>SUM(E2:E15)</f>
        <v>44248.130000000005</v>
      </c>
      <c r="F17" s="106">
        <f>SUM(F2:F16)</f>
        <v>44825</v>
      </c>
      <c r="G17" s="200">
        <f>SUM(G2:G16)</f>
        <v>80880.97</v>
      </c>
      <c r="H17" s="113">
        <f>SUM(H2:H15)</f>
        <v>59025</v>
      </c>
      <c r="I17" s="113"/>
      <c r="J17" s="113">
        <f>SUM(J2:J16)</f>
        <v>58670</v>
      </c>
      <c r="K17" s="34"/>
      <c r="L17" s="215">
        <f>J17-J9</f>
        <v>53270</v>
      </c>
    </row>
    <row r="18" spans="1:13" ht="12.75" outlineLevel="1">
      <c r="A18" s="9">
        <v>6210</v>
      </c>
      <c r="B18" s="9" t="s">
        <v>9</v>
      </c>
      <c r="C18" s="39">
        <v>1271</v>
      </c>
      <c r="D18" s="102"/>
      <c r="E18" s="96">
        <f>480</f>
        <v>480</v>
      </c>
      <c r="F18" s="107">
        <f>1000</f>
        <v>1000</v>
      </c>
      <c r="G18" s="223">
        <v>1681.85</v>
      </c>
      <c r="H18" s="114">
        <v>1000</v>
      </c>
      <c r="I18" s="114">
        <v>165</v>
      </c>
      <c r="J18" s="114">
        <f>55*12</f>
        <v>660</v>
      </c>
      <c r="K18" s="10"/>
      <c r="L18">
        <f>1000/55</f>
        <v>18.181818181818183</v>
      </c>
      <c r="M18" s="208">
        <f>I18*3</f>
        <v>495</v>
      </c>
    </row>
    <row r="19" spans="1:11" ht="51" outlineLevel="1">
      <c r="A19" s="9">
        <v>6220</v>
      </c>
      <c r="B19" s="9" t="s">
        <v>10</v>
      </c>
      <c r="C19" s="39">
        <v>10550.88</v>
      </c>
      <c r="D19" s="102"/>
      <c r="E19" s="96">
        <v>0</v>
      </c>
      <c r="F19" s="107">
        <f>((1457*12)+(1500*2))/2</f>
        <v>10242</v>
      </c>
      <c r="G19" s="217">
        <v>0</v>
      </c>
      <c r="H19" s="116">
        <f>1937.5*6</f>
        <v>11625</v>
      </c>
      <c r="I19" s="116"/>
      <c r="J19" s="216">
        <f>6*1937.5</f>
        <v>11625</v>
      </c>
      <c r="K19" s="10" t="s">
        <v>140</v>
      </c>
    </row>
    <row r="20" spans="1:11" ht="38.25" outlineLevel="1">
      <c r="A20" s="9">
        <v>6240</v>
      </c>
      <c r="B20" s="9" t="s">
        <v>11</v>
      </c>
      <c r="C20" s="39">
        <v>896.03</v>
      </c>
      <c r="D20" s="102"/>
      <c r="E20" s="96">
        <v>720</v>
      </c>
      <c r="F20" s="109">
        <v>1000</v>
      </c>
      <c r="G20" s="223">
        <v>720</v>
      </c>
      <c r="H20" s="116">
        <f>700</f>
        <v>700</v>
      </c>
      <c r="I20" s="116">
        <v>300</v>
      </c>
      <c r="J20" s="116">
        <v>720</v>
      </c>
      <c r="K20" s="169" t="s">
        <v>263</v>
      </c>
    </row>
    <row r="21" spans="1:11" s="33" customFormat="1" ht="12.75">
      <c r="A21" s="32" t="s">
        <v>150</v>
      </c>
      <c r="B21" s="32" t="s">
        <v>12</v>
      </c>
      <c r="C21" s="41">
        <v>12717.91</v>
      </c>
      <c r="D21" s="119">
        <v>17400</v>
      </c>
      <c r="E21" s="95">
        <f>SUM(E18:E20)</f>
        <v>1200</v>
      </c>
      <c r="F21" s="106">
        <f>SUM(F18:F20)</f>
        <v>12242</v>
      </c>
      <c r="G21" s="106">
        <f>SUM(G18:G20)</f>
        <v>2401.85</v>
      </c>
      <c r="H21" s="113">
        <f>SUM(H18:H20)</f>
        <v>13325</v>
      </c>
      <c r="I21" s="113"/>
      <c r="J21" s="113">
        <f>SUM(J18:J20)</f>
        <v>13005</v>
      </c>
      <c r="K21" s="34"/>
    </row>
    <row r="22" spans="1:11" s="4" customFormat="1" ht="12.75">
      <c r="A22" s="50">
        <v>9710</v>
      </c>
      <c r="B22" s="50" t="s">
        <v>249</v>
      </c>
      <c r="C22" s="195"/>
      <c r="D22" s="196"/>
      <c r="E22" s="197"/>
      <c r="F22" s="198"/>
      <c r="G22" s="202">
        <v>274.68</v>
      </c>
      <c r="H22" s="199"/>
      <c r="I22" s="199"/>
      <c r="J22" s="199"/>
      <c r="K22" s="30"/>
    </row>
    <row r="23" spans="1:11" s="4" customFormat="1" ht="12.75">
      <c r="A23" s="50">
        <v>9720</v>
      </c>
      <c r="B23" s="50" t="s">
        <v>250</v>
      </c>
      <c r="C23" s="195"/>
      <c r="D23" s="196"/>
      <c r="E23" s="197"/>
      <c r="F23" s="198"/>
      <c r="G23" s="202">
        <v>1174.48</v>
      </c>
      <c r="H23" s="199"/>
      <c r="I23" s="199"/>
      <c r="J23" s="199"/>
      <c r="K23" s="30"/>
    </row>
    <row r="24" spans="1:11" s="33" customFormat="1" ht="15.75" customHeight="1">
      <c r="A24" s="32" t="s">
        <v>163</v>
      </c>
      <c r="B24" s="35" t="s">
        <v>196</v>
      </c>
      <c r="C24" s="44">
        <v>8996.89</v>
      </c>
      <c r="D24" s="101">
        <v>4000</v>
      </c>
      <c r="E24" s="157">
        <v>8265.75</v>
      </c>
      <c r="F24" s="106">
        <f>7500</f>
        <v>7500</v>
      </c>
      <c r="G24" s="229">
        <v>7296.86</v>
      </c>
      <c r="H24" s="113">
        <f>7500</f>
        <v>7500</v>
      </c>
      <c r="I24" s="113"/>
      <c r="J24" s="113">
        <v>7500</v>
      </c>
      <c r="K24" s="159" t="s">
        <v>128</v>
      </c>
    </row>
    <row r="25" spans="1:11" ht="51" outlineLevel="1">
      <c r="A25" s="9">
        <v>6251</v>
      </c>
      <c r="B25" s="9" t="s">
        <v>13</v>
      </c>
      <c r="C25" s="42">
        <v>783.12</v>
      </c>
      <c r="D25" s="102"/>
      <c r="E25" s="96">
        <v>2708.16</v>
      </c>
      <c r="F25" s="109">
        <v>1500</v>
      </c>
      <c r="G25" s="217">
        <v>687.65</v>
      </c>
      <c r="H25" s="116">
        <v>1000</v>
      </c>
      <c r="I25" s="116">
        <f>701.2</f>
        <v>701.2</v>
      </c>
      <c r="J25" s="116">
        <v>1000</v>
      </c>
      <c r="K25" s="169" t="s">
        <v>300</v>
      </c>
    </row>
    <row r="26" spans="1:12" ht="38.25" outlineLevel="1">
      <c r="A26" s="9">
        <v>6252</v>
      </c>
      <c r="B26" s="9" t="s">
        <v>14</v>
      </c>
      <c r="C26" s="42">
        <v>1007.12</v>
      </c>
      <c r="D26" s="102"/>
      <c r="E26" s="96">
        <v>940.58</v>
      </c>
      <c r="F26" s="107">
        <v>1000</v>
      </c>
      <c r="G26" s="217">
        <v>952.25</v>
      </c>
      <c r="H26" s="116">
        <v>1000</v>
      </c>
      <c r="I26" s="116">
        <v>404.4</v>
      </c>
      <c r="J26">
        <f>70*12</f>
        <v>840</v>
      </c>
      <c r="K26" s="169" t="s">
        <v>264</v>
      </c>
      <c r="L26">
        <f>70*12</f>
        <v>840</v>
      </c>
    </row>
    <row r="27" spans="1:11" ht="204" outlineLevel="1">
      <c r="A27" s="9">
        <v>6253</v>
      </c>
      <c r="B27" s="9" t="s">
        <v>15</v>
      </c>
      <c r="C27" s="42">
        <v>3213.45</v>
      </c>
      <c r="D27" s="102"/>
      <c r="E27" s="96">
        <v>3966.72</v>
      </c>
      <c r="F27" s="109">
        <v>4500</v>
      </c>
      <c r="G27" s="217">
        <v>4515.42</v>
      </c>
      <c r="H27" s="116">
        <v>4100</v>
      </c>
      <c r="I27" s="116">
        <v>2733.26</v>
      </c>
      <c r="J27" s="116">
        <v>4500</v>
      </c>
      <c r="K27" s="169" t="s">
        <v>299</v>
      </c>
    </row>
    <row r="28" spans="1:12" ht="12.75" outlineLevel="1">
      <c r="A28" s="9">
        <v>6254</v>
      </c>
      <c r="B28" s="9" t="s">
        <v>16</v>
      </c>
      <c r="C28" s="42">
        <v>186.9</v>
      </c>
      <c r="D28" s="102"/>
      <c r="E28" s="96">
        <v>292.63</v>
      </c>
      <c r="F28" s="107">
        <v>250</v>
      </c>
      <c r="G28" s="217">
        <v>571.64</v>
      </c>
      <c r="H28" s="116">
        <v>250</v>
      </c>
      <c r="I28" s="116">
        <v>870</v>
      </c>
      <c r="J28" s="116">
        <v>1200</v>
      </c>
      <c r="K28" s="10"/>
      <c r="L28" s="208">
        <f>(I28-200)*3</f>
        <v>2010</v>
      </c>
    </row>
    <row r="29" spans="1:12" ht="51" outlineLevel="1">
      <c r="A29" s="9">
        <v>6255</v>
      </c>
      <c r="B29" s="9" t="s">
        <v>17</v>
      </c>
      <c r="C29" s="42">
        <v>3938.27</v>
      </c>
      <c r="D29" s="102"/>
      <c r="E29" s="96">
        <v>3383.17</v>
      </c>
      <c r="F29" s="107">
        <f>4500-800</f>
        <v>3700</v>
      </c>
      <c r="G29" s="217">
        <v>2308.71</v>
      </c>
      <c r="H29" s="116">
        <v>3500</v>
      </c>
      <c r="I29" s="116">
        <v>780.25</v>
      </c>
      <c r="J29" s="116">
        <f>3000</f>
        <v>3000</v>
      </c>
      <c r="K29" s="169" t="s">
        <v>296</v>
      </c>
      <c r="L29" s="208">
        <f>I29*3</f>
        <v>2340.75</v>
      </c>
    </row>
    <row r="30" spans="1:12" ht="102" outlineLevel="1">
      <c r="A30" s="9">
        <v>6256</v>
      </c>
      <c r="B30" s="9" t="s">
        <v>18</v>
      </c>
      <c r="C30" s="42">
        <v>1318.36</v>
      </c>
      <c r="D30" s="102"/>
      <c r="E30" s="96">
        <v>1092.3</v>
      </c>
      <c r="F30" s="107">
        <v>1500</v>
      </c>
      <c r="G30" s="217">
        <v>1743.44</v>
      </c>
      <c r="H30" s="114">
        <v>2000</v>
      </c>
      <c r="I30" s="114">
        <f>348.57</f>
        <v>348.57</v>
      </c>
      <c r="J30" s="114">
        <v>3500</v>
      </c>
      <c r="K30" s="169" t="s">
        <v>297</v>
      </c>
      <c r="L30" s="208">
        <f>I30*3</f>
        <v>1045.71</v>
      </c>
    </row>
    <row r="31" spans="1:11" ht="25.5" outlineLevel="1">
      <c r="A31" s="9">
        <v>6259</v>
      </c>
      <c r="B31" s="9" t="s">
        <v>19</v>
      </c>
      <c r="C31" s="42">
        <f>322.81</f>
        <v>322.81</v>
      </c>
      <c r="D31" s="102"/>
      <c r="E31" s="96">
        <v>12.47</v>
      </c>
      <c r="F31" s="107">
        <v>250</v>
      </c>
      <c r="G31" s="217">
        <v>0</v>
      </c>
      <c r="H31" s="116">
        <f>350</f>
        <v>350</v>
      </c>
      <c r="I31" s="116">
        <v>16</v>
      </c>
      <c r="J31" s="116">
        <v>8000</v>
      </c>
      <c r="K31" s="169" t="s">
        <v>266</v>
      </c>
    </row>
    <row r="32" spans="1:11" ht="12.75" outlineLevel="1">
      <c r="A32" s="9">
        <v>6260</v>
      </c>
      <c r="B32" s="9" t="s">
        <v>20</v>
      </c>
      <c r="C32" s="42">
        <v>3353.31</v>
      </c>
      <c r="D32" s="102"/>
      <c r="E32" s="96">
        <v>829.11</v>
      </c>
      <c r="F32" s="107">
        <v>1500</v>
      </c>
      <c r="G32" s="217">
        <v>1501.93</v>
      </c>
      <c r="H32" s="114">
        <f>1500</f>
        <v>1500</v>
      </c>
      <c r="I32" s="114">
        <v>429.92</v>
      </c>
      <c r="J32" s="114">
        <v>2000</v>
      </c>
      <c r="K32" s="10"/>
    </row>
    <row r="33" spans="1:11" ht="12.75" outlineLevel="1">
      <c r="A33" s="9">
        <v>6261</v>
      </c>
      <c r="B33" s="9" t="s">
        <v>282</v>
      </c>
      <c r="C33" s="42"/>
      <c r="D33" s="102"/>
      <c r="E33" s="96"/>
      <c r="F33" s="107"/>
      <c r="G33" s="217">
        <v>5.35</v>
      </c>
      <c r="H33" s="114"/>
      <c r="I33" s="114"/>
      <c r="J33" s="114"/>
      <c r="K33" s="10"/>
    </row>
    <row r="34" spans="1:11" ht="38.25" outlineLevel="1">
      <c r="A34" s="12" t="s">
        <v>281</v>
      </c>
      <c r="B34" s="12" t="s">
        <v>21</v>
      </c>
      <c r="C34" s="42">
        <v>0</v>
      </c>
      <c r="D34" s="102"/>
      <c r="E34" s="96">
        <v>0</v>
      </c>
      <c r="F34" s="107">
        <v>800</v>
      </c>
      <c r="G34" s="217">
        <v>0</v>
      </c>
      <c r="H34" s="114">
        <f>(60*12)+(16*5)+50</f>
        <v>850</v>
      </c>
      <c r="I34" s="114"/>
      <c r="J34" s="114">
        <f>(60*12)+(16*5)+50</f>
        <v>850</v>
      </c>
      <c r="K34" s="37" t="s">
        <v>141</v>
      </c>
    </row>
    <row r="35" spans="1:11" ht="51" outlineLevel="1">
      <c r="A35" s="50">
        <v>6262</v>
      </c>
      <c r="B35" s="1" t="s">
        <v>280</v>
      </c>
      <c r="C35" s="42"/>
      <c r="D35" s="102"/>
      <c r="E35" s="96"/>
      <c r="F35" s="107">
        <v>0</v>
      </c>
      <c r="G35" s="222">
        <v>2761.75</v>
      </c>
      <c r="H35" s="114"/>
      <c r="I35" s="114">
        <v>168.74</v>
      </c>
      <c r="J35" s="216">
        <v>2000</v>
      </c>
      <c r="K35" s="37" t="s">
        <v>267</v>
      </c>
    </row>
    <row r="36" spans="1:11" ht="25.5" outlineLevel="1">
      <c r="A36" s="50">
        <v>6263</v>
      </c>
      <c r="B36" s="1" t="s">
        <v>265</v>
      </c>
      <c r="C36" s="42"/>
      <c r="D36" s="102"/>
      <c r="E36" s="96"/>
      <c r="F36" s="107"/>
      <c r="G36" s="222">
        <v>271.8</v>
      </c>
      <c r="H36" s="114"/>
      <c r="I36" s="114">
        <v>1999.14</v>
      </c>
      <c r="J36" s="114">
        <v>500</v>
      </c>
      <c r="K36" s="37" t="s">
        <v>268</v>
      </c>
    </row>
    <row r="37" spans="1:11" s="33" customFormat="1" ht="12.75">
      <c r="A37" s="32" t="s">
        <v>151</v>
      </c>
      <c r="B37" s="32" t="s">
        <v>22</v>
      </c>
      <c r="C37" s="41">
        <v>14123.34</v>
      </c>
      <c r="D37" s="101">
        <v>17500</v>
      </c>
      <c r="E37" s="95">
        <f>SUM(E25:E34)</f>
        <v>13225.139999999998</v>
      </c>
      <c r="F37" s="106">
        <f>SUM(F25:F36)</f>
        <v>15000</v>
      </c>
      <c r="G37" s="106">
        <f>SUM(G25:G36)</f>
        <v>15319.94</v>
      </c>
      <c r="H37" s="158">
        <f>SUM(H25:H34)</f>
        <v>14550</v>
      </c>
      <c r="I37" s="158"/>
      <c r="J37" s="158">
        <f>SUM(J25:J36)</f>
        <v>27390</v>
      </c>
      <c r="K37" s="34"/>
    </row>
    <row r="38" spans="1:11" ht="12.75" outlineLevel="1">
      <c r="A38" s="8">
        <v>6271</v>
      </c>
      <c r="B38" s="9" t="s">
        <v>23</v>
      </c>
      <c r="C38" s="42">
        <v>1787.62</v>
      </c>
      <c r="D38" s="102">
        <v>2000</v>
      </c>
      <c r="E38" s="96">
        <v>1770</v>
      </c>
      <c r="F38" s="107">
        <v>1800</v>
      </c>
      <c r="G38" s="217">
        <v>1883.52</v>
      </c>
      <c r="H38" s="114">
        <v>2000</v>
      </c>
      <c r="I38" s="114">
        <v>0</v>
      </c>
      <c r="J38" s="114">
        <v>2000</v>
      </c>
      <c r="K38" s="10">
        <f>629.21*3</f>
        <v>1887.63</v>
      </c>
    </row>
    <row r="39" spans="1:11" ht="12.75" outlineLevel="1">
      <c r="A39" s="8">
        <v>6272</v>
      </c>
      <c r="B39" s="9" t="s">
        <v>24</v>
      </c>
      <c r="C39" s="42">
        <v>0</v>
      </c>
      <c r="D39" s="102"/>
      <c r="E39" s="96">
        <v>0</v>
      </c>
      <c r="F39" s="107">
        <v>0</v>
      </c>
      <c r="G39" s="217">
        <v>0</v>
      </c>
      <c r="H39" s="114">
        <v>0</v>
      </c>
      <c r="I39" s="114">
        <v>0</v>
      </c>
      <c r="J39" s="114">
        <v>0</v>
      </c>
      <c r="K39" s="10"/>
    </row>
    <row r="40" spans="1:11" ht="51" outlineLevel="1">
      <c r="A40" s="8">
        <v>6274</v>
      </c>
      <c r="B40" s="9" t="s">
        <v>171</v>
      </c>
      <c r="C40" s="42">
        <v>1160</v>
      </c>
      <c r="D40" s="102"/>
      <c r="E40" s="96">
        <v>75</v>
      </c>
      <c r="F40" s="107">
        <v>500</v>
      </c>
      <c r="G40" s="217">
        <v>0</v>
      </c>
      <c r="H40" s="114">
        <v>500</v>
      </c>
      <c r="I40" s="114">
        <v>0</v>
      </c>
      <c r="J40" s="114">
        <f>500</f>
        <v>500</v>
      </c>
      <c r="K40" s="10" t="s">
        <v>176</v>
      </c>
    </row>
    <row r="41" spans="1:11" s="33" customFormat="1" ht="12.75">
      <c r="A41" s="32" t="s">
        <v>152</v>
      </c>
      <c r="B41" s="32" t="s">
        <v>25</v>
      </c>
      <c r="C41" s="41">
        <f>SUM(C38:C40)</f>
        <v>2947.62</v>
      </c>
      <c r="D41" s="101">
        <f>D40+D39+D38</f>
        <v>2000</v>
      </c>
      <c r="E41" s="95">
        <f>SUM(E38:E40)</f>
        <v>1845</v>
      </c>
      <c r="F41" s="106">
        <f>SUM(F38:F40)</f>
        <v>2300</v>
      </c>
      <c r="G41" s="106">
        <f>SUM(G38:G40)</f>
        <v>1883.52</v>
      </c>
      <c r="H41" s="113">
        <f>SUM(H38:H40)</f>
        <v>2500</v>
      </c>
      <c r="I41" s="113"/>
      <c r="J41" s="113">
        <f>SUM(J38:J40)</f>
        <v>2500</v>
      </c>
      <c r="K41" s="34"/>
    </row>
    <row r="42" spans="1:11" ht="12.75" outlineLevel="1">
      <c r="A42" s="8">
        <v>6320</v>
      </c>
      <c r="B42" s="8" t="s">
        <v>26</v>
      </c>
      <c r="C42" s="42">
        <v>3293.2</v>
      </c>
      <c r="D42" s="102"/>
      <c r="E42" s="96">
        <v>2135</v>
      </c>
      <c r="F42" s="107">
        <v>4000</v>
      </c>
      <c r="G42" s="217">
        <v>2774.8</v>
      </c>
      <c r="H42" s="114">
        <v>4000</v>
      </c>
      <c r="I42" s="114">
        <v>712</v>
      </c>
      <c r="J42" s="114">
        <v>3500</v>
      </c>
      <c r="K42" s="10"/>
    </row>
    <row r="43" spans="1:11" ht="12.75" outlineLevel="1">
      <c r="A43" s="8">
        <v>6330</v>
      </c>
      <c r="B43" s="8" t="s">
        <v>27</v>
      </c>
      <c r="C43" s="42">
        <v>95.76</v>
      </c>
      <c r="D43" s="102"/>
      <c r="E43" s="96">
        <v>1089.87</v>
      </c>
      <c r="F43" s="108">
        <v>300</v>
      </c>
      <c r="G43" s="217">
        <v>1453.96</v>
      </c>
      <c r="H43" s="115">
        <f>500</f>
        <v>500</v>
      </c>
      <c r="I43" s="115">
        <v>299.95</v>
      </c>
      <c r="J43" s="115">
        <v>1000</v>
      </c>
      <c r="K43" s="10">
        <f>970</f>
        <v>970</v>
      </c>
    </row>
    <row r="44" spans="1:11" ht="12.75" outlineLevel="1">
      <c r="A44" s="8">
        <v>6340</v>
      </c>
      <c r="B44" s="8" t="s">
        <v>28</v>
      </c>
      <c r="C44" s="42">
        <v>3609.41</v>
      </c>
      <c r="D44" s="102"/>
      <c r="E44" s="96">
        <v>6171</v>
      </c>
      <c r="F44" s="109">
        <v>6000</v>
      </c>
      <c r="G44" s="217">
        <v>5015.82</v>
      </c>
      <c r="H44" s="116">
        <v>6000</v>
      </c>
      <c r="I44" s="116">
        <f>2567.15</f>
        <v>2567.15</v>
      </c>
      <c r="J44" s="116">
        <v>6000</v>
      </c>
      <c r="K44" s="10"/>
    </row>
    <row r="45" spans="1:11" s="33" customFormat="1" ht="12.75">
      <c r="A45" s="32" t="s">
        <v>153</v>
      </c>
      <c r="B45" s="32" t="s">
        <v>29</v>
      </c>
      <c r="C45" s="41">
        <v>6998.37</v>
      </c>
      <c r="D45" s="101">
        <v>16000</v>
      </c>
      <c r="E45" s="95">
        <f>SUM(E42:E44)</f>
        <v>9395.869999999999</v>
      </c>
      <c r="F45" s="106">
        <f>SUM(F42:F44)</f>
        <v>10300</v>
      </c>
      <c r="G45" s="106">
        <f>SUM(G42:G44)</f>
        <v>9244.58</v>
      </c>
      <c r="H45" s="113">
        <f>SUM(H42:H44)</f>
        <v>10500</v>
      </c>
      <c r="I45" s="113"/>
      <c r="J45" s="113">
        <f>SUM(J42:J44)</f>
        <v>10500</v>
      </c>
      <c r="K45" s="35"/>
    </row>
    <row r="46" spans="1:11" ht="12.75" outlineLevel="1">
      <c r="A46" s="8">
        <v>6410</v>
      </c>
      <c r="B46" s="8" t="s">
        <v>30</v>
      </c>
      <c r="C46" s="42">
        <v>600</v>
      </c>
      <c r="D46" s="102"/>
      <c r="E46" s="96">
        <v>200</v>
      </c>
      <c r="F46" s="107">
        <f>300</f>
        <v>300</v>
      </c>
      <c r="G46" s="217">
        <v>200</v>
      </c>
      <c r="H46" s="114">
        <f>300</f>
        <v>300</v>
      </c>
      <c r="I46" s="114"/>
      <c r="J46" s="114">
        <v>300</v>
      </c>
      <c r="K46" s="10"/>
    </row>
    <row r="47" spans="1:12" ht="12.75" outlineLevel="1">
      <c r="A47" s="8">
        <v>6420</v>
      </c>
      <c r="B47" s="8" t="s">
        <v>31</v>
      </c>
      <c r="C47" s="42">
        <f>432</f>
        <v>432</v>
      </c>
      <c r="D47" s="102"/>
      <c r="E47" s="96">
        <v>1296</v>
      </c>
      <c r="F47" s="107">
        <v>450</v>
      </c>
      <c r="G47" s="217">
        <v>432</v>
      </c>
      <c r="H47" s="114">
        <f>1300</f>
        <v>1300</v>
      </c>
      <c r="I47" s="114"/>
      <c r="J47" s="114">
        <v>450</v>
      </c>
      <c r="K47" s="10">
        <f>(12*9)*4*3</f>
        <v>1296</v>
      </c>
      <c r="L47">
        <f>12*4*9</f>
        <v>432</v>
      </c>
    </row>
    <row r="48" spans="1:11" ht="12.75" outlineLevel="1">
      <c r="A48" s="8">
        <v>6425</v>
      </c>
      <c r="B48" s="8" t="s">
        <v>126</v>
      </c>
      <c r="C48" s="42"/>
      <c r="D48" s="102"/>
      <c r="E48" s="96">
        <v>21.83</v>
      </c>
      <c r="F48" s="107"/>
      <c r="G48" s="217">
        <v>0</v>
      </c>
      <c r="H48" s="114"/>
      <c r="I48" s="114"/>
      <c r="J48" s="114">
        <v>0</v>
      </c>
      <c r="K48" s="10"/>
    </row>
    <row r="49" spans="1:11" ht="12.75" outlineLevel="1">
      <c r="A49" s="8">
        <v>6430</v>
      </c>
      <c r="B49" s="8" t="s">
        <v>32</v>
      </c>
      <c r="C49" s="42">
        <v>1446.67</v>
      </c>
      <c r="D49" s="102"/>
      <c r="E49" s="96">
        <v>1420.6</v>
      </c>
      <c r="F49" s="107">
        <v>1500</v>
      </c>
      <c r="G49" s="217">
        <v>2300.61</v>
      </c>
      <c r="H49" s="114">
        <f>1500</f>
        <v>1500</v>
      </c>
      <c r="I49" s="114"/>
      <c r="J49" s="114">
        <v>1500</v>
      </c>
      <c r="K49" s="10"/>
    </row>
    <row r="50" spans="1:11" ht="12.75" outlineLevel="1">
      <c r="A50" s="8">
        <v>6435</v>
      </c>
      <c r="B50" s="8" t="s">
        <v>33</v>
      </c>
      <c r="C50" s="42">
        <v>840.14</v>
      </c>
      <c r="D50" s="102"/>
      <c r="E50" s="96">
        <v>618.8</v>
      </c>
      <c r="F50" s="107">
        <v>900</v>
      </c>
      <c r="G50" s="217">
        <v>686.66</v>
      </c>
      <c r="H50" s="114">
        <f>1000</f>
        <v>1000</v>
      </c>
      <c r="I50" s="114"/>
      <c r="J50" s="114">
        <f>H50*1.04</f>
        <v>1040</v>
      </c>
      <c r="K50" s="10"/>
    </row>
    <row r="51" spans="1:11" ht="38.25" outlineLevel="1">
      <c r="A51" s="8">
        <v>6440</v>
      </c>
      <c r="B51" s="13" t="s">
        <v>34</v>
      </c>
      <c r="C51" s="42">
        <v>0</v>
      </c>
      <c r="D51" s="102"/>
      <c r="E51" s="96">
        <v>124.08</v>
      </c>
      <c r="F51" s="107"/>
      <c r="G51" s="217">
        <v>97.23</v>
      </c>
      <c r="H51" s="116"/>
      <c r="I51" s="116"/>
      <c r="J51" s="116">
        <v>0</v>
      </c>
      <c r="K51" s="10" t="s">
        <v>172</v>
      </c>
    </row>
    <row r="52" spans="1:11" s="33" customFormat="1" ht="12.75">
      <c r="A52" s="32" t="s">
        <v>154</v>
      </c>
      <c r="B52" s="32" t="s">
        <v>35</v>
      </c>
      <c r="C52" s="41">
        <f>SUM(C46:C51)</f>
        <v>3318.81</v>
      </c>
      <c r="D52" s="101">
        <f>3500</f>
        <v>3500</v>
      </c>
      <c r="E52" s="95">
        <f>SUM(E46:E51)</f>
        <v>3681.3099999999995</v>
      </c>
      <c r="F52" s="106">
        <f>SUM(F46:F51)</f>
        <v>3150</v>
      </c>
      <c r="G52" s="106">
        <f>SUM(G46:G51)</f>
        <v>3716.5</v>
      </c>
      <c r="H52" s="113">
        <f>SUM(H46:H51)</f>
        <v>4100</v>
      </c>
      <c r="I52" s="113"/>
      <c r="J52" s="113">
        <f>SUM(J46:J51)</f>
        <v>3290</v>
      </c>
      <c r="K52" s="34"/>
    </row>
    <row r="53" spans="1:11" ht="12.75" outlineLevel="1">
      <c r="A53" s="8">
        <v>6450</v>
      </c>
      <c r="B53" s="9" t="s">
        <v>285</v>
      </c>
      <c r="C53" s="43"/>
      <c r="D53" s="102"/>
      <c r="E53" s="96"/>
      <c r="F53" s="109"/>
      <c r="G53" s="221">
        <v>64</v>
      </c>
      <c r="H53" s="116"/>
      <c r="I53" s="116"/>
      <c r="J53" s="116"/>
      <c r="K53" s="10"/>
    </row>
    <row r="54" spans="1:11" ht="12.75" outlineLevel="1">
      <c r="A54" s="8">
        <v>6452</v>
      </c>
      <c r="B54" s="9" t="s">
        <v>283</v>
      </c>
      <c r="C54" s="43"/>
      <c r="D54" s="102"/>
      <c r="E54" s="96"/>
      <c r="F54" s="109"/>
      <c r="G54" s="221"/>
      <c r="H54" s="116"/>
      <c r="I54" s="116"/>
      <c r="J54" s="116"/>
      <c r="K54" s="10"/>
    </row>
    <row r="55" spans="1:11" ht="51" outlineLevel="1">
      <c r="A55" s="8">
        <v>6453</v>
      </c>
      <c r="B55" s="8" t="s">
        <v>36</v>
      </c>
      <c r="C55" s="43">
        <v>90719</v>
      </c>
      <c r="D55" s="102"/>
      <c r="E55" s="96">
        <v>2291.27</v>
      </c>
      <c r="F55" s="109">
        <v>10000</v>
      </c>
      <c r="G55" s="217">
        <v>3657</v>
      </c>
      <c r="H55" s="116">
        <f>10000</f>
        <v>10000</v>
      </c>
      <c r="I55" s="116">
        <v>1025.5</v>
      </c>
      <c r="J55" s="116">
        <v>10000</v>
      </c>
      <c r="K55" s="10" t="s">
        <v>269</v>
      </c>
    </row>
    <row r="56" spans="1:11" ht="12.75" outlineLevel="1">
      <c r="A56" s="8">
        <v>6454</v>
      </c>
      <c r="B56" s="9" t="s">
        <v>284</v>
      </c>
      <c r="C56" s="43"/>
      <c r="D56" s="102"/>
      <c r="E56" s="96"/>
      <c r="F56" s="109"/>
      <c r="G56" s="222">
        <v>188967.32</v>
      </c>
      <c r="H56" s="116"/>
      <c r="I56" s="116"/>
      <c r="J56" s="116"/>
      <c r="K56" s="10"/>
    </row>
    <row r="57" spans="1:11" s="33" customFormat="1" ht="12.75">
      <c r="A57" s="32" t="s">
        <v>155</v>
      </c>
      <c r="B57" s="32" t="s">
        <v>37</v>
      </c>
      <c r="C57" s="41">
        <v>90719</v>
      </c>
      <c r="D57" s="101">
        <v>0</v>
      </c>
      <c r="E57" s="95">
        <f>SUM(E55)</f>
        <v>2291.27</v>
      </c>
      <c r="F57" s="106">
        <f>SUM(F55)</f>
        <v>10000</v>
      </c>
      <c r="G57" s="200">
        <f>SUM(G53:G56)</f>
        <v>192688.32</v>
      </c>
      <c r="H57" s="113">
        <f>SUM(H55)</f>
        <v>10000</v>
      </c>
      <c r="I57" s="113">
        <f>SUM(I55)</f>
        <v>1025.5</v>
      </c>
      <c r="J57" s="113">
        <f>SUM(J55)</f>
        <v>10000</v>
      </c>
      <c r="K57" s="34"/>
    </row>
    <row r="58" spans="1:11" ht="12.75" outlineLevel="1">
      <c r="A58" s="9">
        <v>6572</v>
      </c>
      <c r="B58" s="9" t="s">
        <v>228</v>
      </c>
      <c r="C58" s="42">
        <v>1870.5</v>
      </c>
      <c r="D58" s="102"/>
      <c r="E58" s="96">
        <f>1032</f>
        <v>1032</v>
      </c>
      <c r="F58" s="107">
        <v>2500</v>
      </c>
      <c r="G58" s="217">
        <v>1820</v>
      </c>
      <c r="H58" s="114">
        <v>2500</v>
      </c>
      <c r="I58" s="114"/>
      <c r="J58" s="114">
        <f>2500</f>
        <v>2500</v>
      </c>
      <c r="K58" s="30">
        <f>2000</f>
        <v>2000</v>
      </c>
    </row>
    <row r="59" spans="1:11" ht="12.75" outlineLevel="1">
      <c r="A59" s="9">
        <v>6573</v>
      </c>
      <c r="B59" s="9" t="s">
        <v>227</v>
      </c>
      <c r="C59" s="42">
        <v>2017.5</v>
      </c>
      <c r="D59" s="102"/>
      <c r="E59" s="96">
        <f>1130</f>
        <v>1130</v>
      </c>
      <c r="F59" s="107">
        <v>2500</v>
      </c>
      <c r="G59" s="217">
        <v>1970</v>
      </c>
      <c r="H59" s="114">
        <v>2500</v>
      </c>
      <c r="I59" s="114"/>
      <c r="J59" s="114">
        <f>2500</f>
        <v>2500</v>
      </c>
      <c r="K59" s="30">
        <v>2200</v>
      </c>
    </row>
    <row r="60" spans="1:11" ht="12.75" outlineLevel="1">
      <c r="A60" s="9">
        <v>6574</v>
      </c>
      <c r="B60" s="9" t="s">
        <v>229</v>
      </c>
      <c r="C60" s="42"/>
      <c r="D60" s="102"/>
      <c r="E60" s="96">
        <v>30</v>
      </c>
      <c r="F60" s="107"/>
      <c r="G60" s="201"/>
      <c r="H60" s="114"/>
      <c r="I60" s="114"/>
      <c r="J60" s="114"/>
      <c r="K60" s="30"/>
    </row>
    <row r="61" spans="1:11" s="33" customFormat="1" ht="12.75">
      <c r="A61" s="32" t="s">
        <v>156</v>
      </c>
      <c r="B61" s="32" t="s">
        <v>38</v>
      </c>
      <c r="C61" s="41">
        <f>C58+C59</f>
        <v>3888</v>
      </c>
      <c r="D61" s="101">
        <v>3000</v>
      </c>
      <c r="E61" s="95">
        <f>E58+E59+E60</f>
        <v>2192</v>
      </c>
      <c r="F61" s="106">
        <f>SUM(F58:F60)</f>
        <v>5000</v>
      </c>
      <c r="G61" s="106">
        <f>SUM(G58:G60)</f>
        <v>3790</v>
      </c>
      <c r="H61" s="113">
        <f>SUM(H58:H59)</f>
        <v>5000</v>
      </c>
      <c r="I61" s="113">
        <f>SUM(I58:I59)</f>
        <v>0</v>
      </c>
      <c r="J61" s="113">
        <f>SUM(J58:J59)</f>
        <v>5000</v>
      </c>
      <c r="K61" s="34"/>
    </row>
    <row r="62" spans="1:11" ht="38.25" outlineLevel="1">
      <c r="A62" s="9">
        <v>6610</v>
      </c>
      <c r="B62" s="9" t="s">
        <v>39</v>
      </c>
      <c r="C62" s="42">
        <v>8600</v>
      </c>
      <c r="D62" s="102"/>
      <c r="E62" s="96">
        <v>9278</v>
      </c>
      <c r="F62" s="109"/>
      <c r="G62" s="217">
        <v>10712</v>
      </c>
      <c r="H62" s="116">
        <v>10750</v>
      </c>
      <c r="I62" s="116">
        <v>10674</v>
      </c>
      <c r="J62" s="116">
        <v>10750</v>
      </c>
      <c r="K62" s="10" t="s">
        <v>270</v>
      </c>
    </row>
    <row r="63" spans="1:11" ht="12.75" outlineLevel="1">
      <c r="A63" s="9">
        <v>6620</v>
      </c>
      <c r="B63" s="9" t="s">
        <v>40</v>
      </c>
      <c r="C63" s="42">
        <v>898.64</v>
      </c>
      <c r="D63" s="102"/>
      <c r="E63" s="96"/>
      <c r="F63" s="107"/>
      <c r="G63" s="201"/>
      <c r="H63" s="116">
        <v>600</v>
      </c>
      <c r="I63" s="116">
        <v>1335</v>
      </c>
      <c r="J63" s="116">
        <v>1335</v>
      </c>
      <c r="K63" s="10"/>
    </row>
    <row r="64" spans="1:11" ht="12.75" outlineLevel="1">
      <c r="A64" s="9">
        <v>6630</v>
      </c>
      <c r="B64" s="9" t="s">
        <v>225</v>
      </c>
      <c r="C64" s="42">
        <v>585</v>
      </c>
      <c r="D64" s="102">
        <v>4366</v>
      </c>
      <c r="E64" s="96">
        <v>665</v>
      </c>
      <c r="F64" s="107"/>
      <c r="G64" s="217">
        <v>680</v>
      </c>
      <c r="H64" s="116">
        <v>1000</v>
      </c>
      <c r="I64" s="116">
        <v>700</v>
      </c>
      <c r="J64" s="116">
        <v>700</v>
      </c>
      <c r="K64" s="10"/>
    </row>
    <row r="65" spans="1:11" ht="12.75" outlineLevel="1">
      <c r="A65" s="9">
        <v>6640</v>
      </c>
      <c r="B65" s="9" t="s">
        <v>41</v>
      </c>
      <c r="C65" s="42">
        <v>455.94</v>
      </c>
      <c r="D65" s="102"/>
      <c r="E65" s="96"/>
      <c r="F65" s="107"/>
      <c r="G65" s="201"/>
      <c r="H65" s="116">
        <v>0</v>
      </c>
      <c r="I65" s="116">
        <v>663</v>
      </c>
      <c r="J65" s="116">
        <v>650</v>
      </c>
      <c r="K65" s="10"/>
    </row>
    <row r="66" spans="1:11" s="33" customFormat="1" ht="12.75">
      <c r="A66" s="35" t="s">
        <v>157</v>
      </c>
      <c r="B66" s="32" t="s">
        <v>226</v>
      </c>
      <c r="C66" s="41">
        <f>SUM(C62:C65)</f>
        <v>10539.58</v>
      </c>
      <c r="D66" s="101">
        <v>14000</v>
      </c>
      <c r="E66" s="95">
        <f>SUM(E62:E65)</f>
        <v>9943</v>
      </c>
      <c r="F66" s="106">
        <v>14000</v>
      </c>
      <c r="G66" s="106">
        <f>SUM(G62:G65)</f>
        <v>11392</v>
      </c>
      <c r="H66" s="113">
        <f>SUM(H62:H65)</f>
        <v>12350</v>
      </c>
      <c r="I66" s="113">
        <f>SUM(I62:I65)</f>
        <v>13372</v>
      </c>
      <c r="J66" s="113">
        <f>SUM(J62:J65)</f>
        <v>13435</v>
      </c>
      <c r="K66" s="34"/>
    </row>
    <row r="67" spans="1:12" ht="25.5" outlineLevel="1">
      <c r="A67" s="9">
        <v>6710</v>
      </c>
      <c r="B67" s="9" t="s">
        <v>42</v>
      </c>
      <c r="C67" s="39">
        <v>10054</v>
      </c>
      <c r="D67" s="102">
        <v>11000</v>
      </c>
      <c r="E67" s="96">
        <v>10242.48</v>
      </c>
      <c r="F67" s="107">
        <v>10360</v>
      </c>
      <c r="G67" s="217">
        <v>10360.16</v>
      </c>
      <c r="H67" s="114">
        <f>10360</f>
        <v>10360</v>
      </c>
      <c r="I67" s="114">
        <v>2364.61</v>
      </c>
      <c r="J67" s="114">
        <v>10360</v>
      </c>
      <c r="K67" s="10" t="s">
        <v>301</v>
      </c>
      <c r="L67" s="208">
        <f>I67*4</f>
        <v>9458.44</v>
      </c>
    </row>
    <row r="68" spans="1:11" ht="12.75" outlineLevel="1">
      <c r="A68" s="9">
        <v>6720</v>
      </c>
      <c r="B68" s="9" t="s">
        <v>43</v>
      </c>
      <c r="C68" s="39">
        <v>2495.73</v>
      </c>
      <c r="D68" s="102">
        <v>4000</v>
      </c>
      <c r="E68" s="96">
        <v>2628.04</v>
      </c>
      <c r="F68" s="107">
        <v>4000</v>
      </c>
      <c r="G68" s="217">
        <v>6015.04</v>
      </c>
      <c r="H68" s="114">
        <v>3000</v>
      </c>
      <c r="I68" s="114"/>
      <c r="J68" s="114">
        <v>2500</v>
      </c>
      <c r="K68" s="10">
        <f>1162*2</f>
        <v>2324</v>
      </c>
    </row>
    <row r="69" spans="1:11" ht="51" outlineLevel="1">
      <c r="A69" s="9">
        <v>6730</v>
      </c>
      <c r="B69" s="9" t="s">
        <v>286</v>
      </c>
      <c r="C69" s="39"/>
      <c r="D69" s="102"/>
      <c r="E69" s="96"/>
      <c r="F69" s="107"/>
      <c r="G69" s="96">
        <v>50</v>
      </c>
      <c r="H69" s="114"/>
      <c r="I69" s="114"/>
      <c r="J69" s="114">
        <v>0</v>
      </c>
      <c r="K69" s="10" t="s">
        <v>302</v>
      </c>
    </row>
    <row r="70" spans="1:11" ht="25.5" outlineLevel="1">
      <c r="A70" s="9">
        <v>6740</v>
      </c>
      <c r="B70" s="9" t="s">
        <v>287</v>
      </c>
      <c r="C70" s="39"/>
      <c r="D70" s="102"/>
      <c r="E70" s="96"/>
      <c r="F70" s="107"/>
      <c r="G70" s="224">
        <v>13800</v>
      </c>
      <c r="H70" s="114"/>
      <c r="I70" s="114">
        <v>11192</v>
      </c>
      <c r="J70" s="114">
        <v>3000</v>
      </c>
      <c r="K70" s="10" t="s">
        <v>303</v>
      </c>
    </row>
    <row r="71" spans="1:11" s="33" customFormat="1" ht="12.75">
      <c r="A71" s="32" t="s">
        <v>158</v>
      </c>
      <c r="B71" s="32" t="s">
        <v>44</v>
      </c>
      <c r="C71" s="41">
        <f>SUM(C67:C68)</f>
        <v>12549.73</v>
      </c>
      <c r="D71" s="101">
        <f>SUM(D67:D68)</f>
        <v>15000</v>
      </c>
      <c r="E71" s="95">
        <f>E67+E68</f>
        <v>12870.52</v>
      </c>
      <c r="F71" s="106">
        <f>SUM(F67:F68)</f>
        <v>14360</v>
      </c>
      <c r="G71" s="200">
        <f>SUM(G67:G70)</f>
        <v>30225.2</v>
      </c>
      <c r="H71" s="113">
        <f>SUM(H67:H70)</f>
        <v>13360</v>
      </c>
      <c r="I71" s="113">
        <f>SUM(I67:I70)</f>
        <v>13556.61</v>
      </c>
      <c r="J71" s="113">
        <f>SUM(J67:J70)</f>
        <v>15860</v>
      </c>
      <c r="K71" s="34"/>
    </row>
    <row r="72" spans="1:11" ht="12.75" outlineLevel="1">
      <c r="A72" s="9">
        <v>6751</v>
      </c>
      <c r="B72" s="9" t="s">
        <v>45</v>
      </c>
      <c r="C72" s="40">
        <v>7211</v>
      </c>
      <c r="D72" s="102"/>
      <c r="E72" s="97">
        <f>7381</f>
        <v>7381</v>
      </c>
      <c r="F72" s="107">
        <v>8000</v>
      </c>
      <c r="G72" s="97">
        <v>7211</v>
      </c>
      <c r="H72" s="116">
        <v>8000</v>
      </c>
      <c r="I72" s="116">
        <v>6022</v>
      </c>
      <c r="J72" s="116">
        <v>7000</v>
      </c>
      <c r="K72" s="10"/>
    </row>
    <row r="73" spans="1:11" ht="25.5" outlineLevel="1">
      <c r="A73" s="9">
        <v>6753</v>
      </c>
      <c r="B73" s="9" t="s">
        <v>295</v>
      </c>
      <c r="C73" s="40"/>
      <c r="D73" s="102"/>
      <c r="E73" s="97"/>
      <c r="F73" s="107"/>
      <c r="G73" s="97"/>
      <c r="H73" s="116"/>
      <c r="I73" s="232">
        <v>16185.6</v>
      </c>
      <c r="J73" s="116">
        <v>10000</v>
      </c>
      <c r="K73" s="10" t="s">
        <v>304</v>
      </c>
    </row>
    <row r="74" spans="1:11" ht="25.5" outlineLevel="1">
      <c r="A74" s="9">
        <v>6754</v>
      </c>
      <c r="B74" s="9" t="s">
        <v>46</v>
      </c>
      <c r="C74" s="39"/>
      <c r="D74" s="102"/>
      <c r="E74" s="96"/>
      <c r="F74" s="107">
        <v>0</v>
      </c>
      <c r="G74" s="96"/>
      <c r="H74" s="114"/>
      <c r="I74" s="114"/>
      <c r="J74" s="114"/>
      <c r="K74" s="10" t="s">
        <v>305</v>
      </c>
    </row>
    <row r="75" spans="1:11" ht="25.5" outlineLevel="1">
      <c r="A75" s="9">
        <v>6755</v>
      </c>
      <c r="B75" s="9" t="s">
        <v>47</v>
      </c>
      <c r="C75" s="39"/>
      <c r="D75" s="102"/>
      <c r="E75" s="96"/>
      <c r="F75" s="107">
        <v>0</v>
      </c>
      <c r="G75" s="96"/>
      <c r="H75" s="114"/>
      <c r="I75" s="114"/>
      <c r="J75" s="114"/>
      <c r="K75" s="10" t="s">
        <v>305</v>
      </c>
    </row>
    <row r="76" spans="1:11" s="33" customFormat="1" ht="12.75">
      <c r="A76" s="32" t="s">
        <v>159</v>
      </c>
      <c r="B76" s="32" t="s">
        <v>48</v>
      </c>
      <c r="C76" s="41">
        <v>14723.75</v>
      </c>
      <c r="D76" s="101">
        <v>10000</v>
      </c>
      <c r="E76" s="95">
        <f aca="true" t="shared" si="0" ref="E76:J76">SUM(E72:E75)</f>
        <v>7381</v>
      </c>
      <c r="F76" s="106">
        <f t="shared" si="0"/>
        <v>8000</v>
      </c>
      <c r="G76" s="95">
        <f t="shared" si="0"/>
        <v>7211</v>
      </c>
      <c r="H76" s="113">
        <f t="shared" si="0"/>
        <v>8000</v>
      </c>
      <c r="I76" s="113">
        <f t="shared" si="0"/>
        <v>22207.6</v>
      </c>
      <c r="J76" s="113">
        <f t="shared" si="0"/>
        <v>17000</v>
      </c>
      <c r="K76" s="34"/>
    </row>
    <row r="77" spans="1:11" ht="12.75" outlineLevel="1">
      <c r="A77" s="9">
        <v>6810</v>
      </c>
      <c r="B77" s="9" t="s">
        <v>49</v>
      </c>
      <c r="C77" s="39"/>
      <c r="D77" s="102"/>
      <c r="E77" s="96">
        <v>2639.75</v>
      </c>
      <c r="F77" s="109">
        <v>4000</v>
      </c>
      <c r="G77" s="97">
        <v>2828.85</v>
      </c>
      <c r="H77" s="116" t="s">
        <v>142</v>
      </c>
      <c r="I77" s="116"/>
      <c r="J77" s="116"/>
      <c r="K77" s="10" t="s">
        <v>127</v>
      </c>
    </row>
    <row r="78" spans="1:11" ht="25.5" outlineLevel="1">
      <c r="A78" s="9">
        <v>6820</v>
      </c>
      <c r="B78" s="9" t="s">
        <v>50</v>
      </c>
      <c r="C78" s="39"/>
      <c r="D78" s="102"/>
      <c r="E78" s="96">
        <v>1</v>
      </c>
      <c r="F78" s="107">
        <v>1</v>
      </c>
      <c r="G78" s="97">
        <v>1</v>
      </c>
      <c r="H78" s="116">
        <v>10000</v>
      </c>
      <c r="I78" s="116"/>
      <c r="J78" s="116">
        <v>10000</v>
      </c>
      <c r="K78" s="30" t="s">
        <v>125</v>
      </c>
    </row>
    <row r="79" spans="1:11" ht="12.75" outlineLevel="1">
      <c r="A79" s="9">
        <v>6830</v>
      </c>
      <c r="B79" s="9" t="s">
        <v>51</v>
      </c>
      <c r="C79" s="42"/>
      <c r="D79" s="102"/>
      <c r="E79" s="97">
        <v>4280</v>
      </c>
      <c r="F79" s="107">
        <f>4140</f>
        <v>4140</v>
      </c>
      <c r="G79" s="97">
        <v>4140</v>
      </c>
      <c r="H79" s="116">
        <v>0</v>
      </c>
      <c r="I79" s="116"/>
      <c r="J79" s="116"/>
      <c r="K79" s="10" t="s">
        <v>127</v>
      </c>
    </row>
    <row r="80" spans="1:11" s="33" customFormat="1" ht="12.75">
      <c r="A80" s="32" t="s">
        <v>160</v>
      </c>
      <c r="B80" s="32" t="s">
        <v>52</v>
      </c>
      <c r="C80" s="41">
        <v>8651.01</v>
      </c>
      <c r="D80" s="101">
        <v>10000</v>
      </c>
      <c r="E80" s="98">
        <f aca="true" t="shared" si="1" ref="E80:J80">SUM(E77:E79)</f>
        <v>6920.75</v>
      </c>
      <c r="F80" s="106">
        <f t="shared" si="1"/>
        <v>8141</v>
      </c>
      <c r="G80" s="106">
        <f t="shared" si="1"/>
        <v>6969.85</v>
      </c>
      <c r="H80" s="113">
        <f t="shared" si="1"/>
        <v>10000</v>
      </c>
      <c r="I80" s="113">
        <f t="shared" si="1"/>
        <v>0</v>
      </c>
      <c r="J80" s="113">
        <f t="shared" si="1"/>
        <v>10000</v>
      </c>
      <c r="K80" s="34"/>
    </row>
    <row r="81" spans="1:11" ht="51" outlineLevel="1">
      <c r="A81" s="9">
        <v>6851</v>
      </c>
      <c r="B81" s="9" t="s">
        <v>53</v>
      </c>
      <c r="C81" s="42">
        <v>831.75</v>
      </c>
      <c r="D81" s="102"/>
      <c r="E81" s="96">
        <f>938.75</f>
        <v>938.75</v>
      </c>
      <c r="F81" s="109"/>
      <c r="G81" s="97">
        <v>1434.5</v>
      </c>
      <c r="H81" s="117">
        <v>1323</v>
      </c>
      <c r="I81" s="203">
        <v>386.5</v>
      </c>
      <c r="J81" s="109">
        <v>1434.5</v>
      </c>
      <c r="K81" s="5" t="s">
        <v>306</v>
      </c>
    </row>
    <row r="82" spans="1:10" ht="12.75" outlineLevel="1">
      <c r="A82" s="9">
        <v>6852</v>
      </c>
      <c r="B82" s="9" t="s">
        <v>54</v>
      </c>
      <c r="C82" s="42">
        <v>1212.75</v>
      </c>
      <c r="D82" s="102"/>
      <c r="E82" s="96">
        <f>1135.25</f>
        <v>1135.25</v>
      </c>
      <c r="F82" s="109"/>
      <c r="G82" s="97">
        <v>1571.5</v>
      </c>
      <c r="H82" s="117">
        <v>1462</v>
      </c>
      <c r="I82" s="203">
        <v>420.25</v>
      </c>
      <c r="J82" s="109">
        <v>1571.5</v>
      </c>
    </row>
    <row r="83" spans="1:10" ht="12.75" outlineLevel="1">
      <c r="A83" s="9">
        <v>6853</v>
      </c>
      <c r="B83" s="9" t="s">
        <v>55</v>
      </c>
      <c r="C83" s="42">
        <v>12036.25</v>
      </c>
      <c r="D83" s="102"/>
      <c r="E83" s="96">
        <f>7386</f>
        <v>7386</v>
      </c>
      <c r="F83" s="109"/>
      <c r="G83" s="97">
        <v>10736.5</v>
      </c>
      <c r="H83" s="117">
        <v>10000</v>
      </c>
      <c r="I83" s="203">
        <v>2325.75</v>
      </c>
      <c r="J83" s="109">
        <v>10736.5</v>
      </c>
    </row>
    <row r="84" spans="1:10" ht="12.75" outlineLevel="1">
      <c r="A84" s="9">
        <v>6854</v>
      </c>
      <c r="B84" s="9" t="s">
        <v>56</v>
      </c>
      <c r="C84" s="42">
        <v>7300.25</v>
      </c>
      <c r="D84" s="102"/>
      <c r="E84" s="96">
        <f>7341.25</f>
        <v>7341.25</v>
      </c>
      <c r="F84" s="109"/>
      <c r="G84" s="97">
        <v>11161</v>
      </c>
      <c r="H84" s="117">
        <v>10317</v>
      </c>
      <c r="I84" s="203">
        <v>2966.25</v>
      </c>
      <c r="J84" s="109">
        <v>11161</v>
      </c>
    </row>
    <row r="85" spans="1:10" ht="12.75" outlineLevel="1">
      <c r="A85" s="9">
        <v>6855</v>
      </c>
      <c r="B85" s="9" t="s">
        <v>57</v>
      </c>
      <c r="C85" s="42">
        <v>1113</v>
      </c>
      <c r="D85" s="102"/>
      <c r="E85" s="96">
        <f>3814.25</f>
        <v>3814.25</v>
      </c>
      <c r="F85" s="109"/>
      <c r="G85" s="97">
        <v>1310</v>
      </c>
      <c r="H85" s="117">
        <v>1323</v>
      </c>
      <c r="I85" s="203">
        <v>192</v>
      </c>
      <c r="J85" s="109">
        <v>1310</v>
      </c>
    </row>
    <row r="86" spans="1:10" ht="12.75" outlineLevel="1">
      <c r="A86" s="9">
        <v>6857</v>
      </c>
      <c r="B86" s="9" t="s">
        <v>288</v>
      </c>
      <c r="C86" s="42">
        <f>92.75+677.25</f>
        <v>770</v>
      </c>
      <c r="D86" s="102"/>
      <c r="E86" s="96">
        <f>667.75</f>
        <v>667.75</v>
      </c>
      <c r="F86" s="109"/>
      <c r="G86" s="96">
        <v>950</v>
      </c>
      <c r="H86" s="117">
        <v>884</v>
      </c>
      <c r="I86" s="203">
        <v>254</v>
      </c>
      <c r="J86" s="109">
        <v>950</v>
      </c>
    </row>
    <row r="87" spans="1:11" s="33" customFormat="1" ht="12.75">
      <c r="A87" s="32" t="s">
        <v>161</v>
      </c>
      <c r="B87" s="32" t="s">
        <v>58</v>
      </c>
      <c r="C87" s="41">
        <v>23264</v>
      </c>
      <c r="D87" s="101">
        <v>22500</v>
      </c>
      <c r="E87" s="95">
        <f>SUM(E81:E86)</f>
        <v>21283.25</v>
      </c>
      <c r="F87" s="106">
        <v>25000</v>
      </c>
      <c r="G87" s="95">
        <f>SUM(G81:G86)</f>
        <v>27163.5</v>
      </c>
      <c r="H87" s="113">
        <f>SUM(H81:H86)</f>
        <v>25309</v>
      </c>
      <c r="I87" s="113">
        <f>SUM(I81:I86)</f>
        <v>6544.75</v>
      </c>
      <c r="J87" s="113">
        <f>SUM(J81:J86)</f>
        <v>27163.5</v>
      </c>
      <c r="K87" s="34"/>
    </row>
    <row r="88" spans="1:11" s="4" customFormat="1" ht="12.75" outlineLevel="1">
      <c r="A88" s="12">
        <v>6910</v>
      </c>
      <c r="B88" s="12" t="s">
        <v>291</v>
      </c>
      <c r="C88" s="42"/>
      <c r="D88" s="225"/>
      <c r="E88" s="226"/>
      <c r="F88" s="109"/>
      <c r="G88" s="226">
        <v>15</v>
      </c>
      <c r="H88" s="227"/>
      <c r="I88" s="227"/>
      <c r="J88" s="226"/>
      <c r="K88" s="228"/>
    </row>
    <row r="89" spans="1:11" s="4" customFormat="1" ht="12.75" outlineLevel="1">
      <c r="A89" s="12">
        <v>6920</v>
      </c>
      <c r="B89" s="12" t="s">
        <v>292</v>
      </c>
      <c r="C89" s="42"/>
      <c r="D89" s="225"/>
      <c r="E89" s="226"/>
      <c r="F89" s="109"/>
      <c r="G89" s="226">
        <v>30</v>
      </c>
      <c r="H89" s="227"/>
      <c r="I89" s="227"/>
      <c r="J89" s="226"/>
      <c r="K89" s="228"/>
    </row>
    <row r="90" spans="1:11" s="4" customFormat="1" ht="12.75" outlineLevel="1">
      <c r="A90" s="12">
        <v>6930</v>
      </c>
      <c r="B90" s="12" t="s">
        <v>293</v>
      </c>
      <c r="C90" s="42"/>
      <c r="D90" s="225"/>
      <c r="E90" s="226"/>
      <c r="F90" s="109"/>
      <c r="G90" s="226">
        <v>35.63</v>
      </c>
      <c r="H90" s="227"/>
      <c r="I90" s="227"/>
      <c r="J90" s="226"/>
      <c r="K90" s="228"/>
    </row>
    <row r="91" spans="1:11" s="4" customFormat="1" ht="12.75" outlineLevel="1">
      <c r="A91" s="12">
        <v>6945</v>
      </c>
      <c r="B91" s="12" t="s">
        <v>290</v>
      </c>
      <c r="C91" s="42"/>
      <c r="D91" s="225"/>
      <c r="E91" s="226"/>
      <c r="F91" s="109"/>
      <c r="G91" s="226"/>
      <c r="H91" s="227"/>
      <c r="I91" s="227">
        <v>1</v>
      </c>
      <c r="J91" s="226"/>
      <c r="K91" s="228"/>
    </row>
    <row r="92" spans="1:12" s="33" customFormat="1" ht="12.75">
      <c r="A92" s="32" t="s">
        <v>289</v>
      </c>
      <c r="B92" s="32" t="s">
        <v>290</v>
      </c>
      <c r="C92" s="41"/>
      <c r="D92" s="101"/>
      <c r="E92" s="95"/>
      <c r="F92" s="106"/>
      <c r="G92" s="95">
        <f>SUM(G88:G90)</f>
        <v>80.63</v>
      </c>
      <c r="H92" s="113"/>
      <c r="I92" s="113"/>
      <c r="J92" s="113">
        <v>100</v>
      </c>
      <c r="K92" s="34"/>
      <c r="L92" s="230" t="s">
        <v>294</v>
      </c>
    </row>
    <row r="93" spans="1:12" s="33" customFormat="1" ht="12.75">
      <c r="A93" s="73" t="s">
        <v>162</v>
      </c>
      <c r="B93" s="73" t="s">
        <v>59</v>
      </c>
      <c r="C93" s="41" t="e">
        <f>C80+C87+C76+C71+C66+C61+C57+C37+C45+C21+C17+C52+C41+'FY2013 Highway'!#REF!</f>
        <v>#REF!</v>
      </c>
      <c r="D93" s="101">
        <f>D80+D87+D76+D71+D66+D61+D57+D37+D45+D21+D17+D52+D41+D24</f>
        <v>183900</v>
      </c>
      <c r="E93" s="95">
        <f>E80+E87+E76+E71+E66+E61+E57+E37+E45+E21+E17+E52+E41+E24</f>
        <v>144742.99</v>
      </c>
      <c r="F93" s="106">
        <f>F80+F87+F76+F71+F66+F61+F57+F37+F45+F21+F17+F52+F41+F24</f>
        <v>179818</v>
      </c>
      <c r="G93" s="233">
        <f>G80+G87+G76+G71+G66+G61+G57+G37+G45+G21+G17+G52+G41+G24+G92</f>
        <v>400264.72</v>
      </c>
      <c r="H93" s="95">
        <f>H80+H87+H76+H71+H66+H61+H57+H37+H45+H21+H17+H52+H41+H24+H92</f>
        <v>195519</v>
      </c>
      <c r="I93" s="95">
        <f>I80+I87+I76+I71+I66+I61+I57+I37+I45+I21+I17+I52+I41+I24+I92</f>
        <v>56706.46</v>
      </c>
      <c r="J93" s="95">
        <f>J80+J87+J76+J71+J66+J61+J57+J37+J45+J21+J17+J52+J41+J24+J92</f>
        <v>221413.5</v>
      </c>
      <c r="K93" s="34"/>
      <c r="L93" s="231">
        <f>400264.72-394033.4</f>
        <v>6231.319999999949</v>
      </c>
    </row>
    <row r="94" spans="1:11" s="33" customFormat="1" ht="12.75" hidden="1">
      <c r="A94" s="32" t="s">
        <v>164</v>
      </c>
      <c r="B94" s="32" t="s">
        <v>60</v>
      </c>
      <c r="C94" s="44">
        <v>38717.45</v>
      </c>
      <c r="D94" s="103">
        <v>0</v>
      </c>
      <c r="E94" s="99">
        <v>0</v>
      </c>
      <c r="F94" s="110">
        <v>0</v>
      </c>
      <c r="G94" s="99"/>
      <c r="H94" s="118">
        <v>0</v>
      </c>
      <c r="I94" s="118"/>
      <c r="J94" s="118"/>
      <c r="K94" s="34" t="s">
        <v>175</v>
      </c>
    </row>
    <row r="95" spans="1:11" s="33" customFormat="1" ht="12.75" hidden="1">
      <c r="A95" s="32" t="s">
        <v>174</v>
      </c>
      <c r="B95" s="32" t="s">
        <v>129</v>
      </c>
      <c r="C95" s="44">
        <v>60</v>
      </c>
      <c r="D95" s="103"/>
      <c r="E95" s="99"/>
      <c r="F95" s="110"/>
      <c r="G95" s="99"/>
      <c r="H95" s="118"/>
      <c r="I95" s="118"/>
      <c r="J95" s="118"/>
      <c r="K95" s="34" t="s">
        <v>175</v>
      </c>
    </row>
    <row r="96" spans="1:11" s="33" customFormat="1" ht="40.5" customHeight="1">
      <c r="A96" s="32" t="s">
        <v>147</v>
      </c>
      <c r="B96" s="35" t="s">
        <v>170</v>
      </c>
      <c r="C96" s="36">
        <v>0</v>
      </c>
      <c r="D96" s="101">
        <v>0</v>
      </c>
      <c r="E96" s="100">
        <v>0</v>
      </c>
      <c r="F96" s="111">
        <v>0</v>
      </c>
      <c r="G96" s="100"/>
      <c r="H96" s="113">
        <f>B117+C117+12000</f>
        <v>21395</v>
      </c>
      <c r="I96" s="113"/>
      <c r="J96" s="113"/>
      <c r="K96" s="159" t="s">
        <v>230</v>
      </c>
    </row>
    <row r="97" spans="1:11" ht="12.75" outlineLevel="1">
      <c r="A97" s="52">
        <v>7390</v>
      </c>
      <c r="B97" s="8" t="s">
        <v>165</v>
      </c>
      <c r="C97" s="78">
        <v>0</v>
      </c>
      <c r="E97" s="168">
        <f>6435.75/2</f>
        <v>3217.875</v>
      </c>
      <c r="F97" s="134"/>
      <c r="G97" s="168"/>
      <c r="H97" s="8"/>
      <c r="I97" s="204"/>
      <c r="J97" s="204"/>
      <c r="K97" s="93"/>
    </row>
    <row r="98" spans="1:11" ht="12.75" outlineLevel="1">
      <c r="A98" s="53">
        <v>7390</v>
      </c>
      <c r="B98" s="9" t="s">
        <v>166</v>
      </c>
      <c r="C98" s="78">
        <v>0</v>
      </c>
      <c r="E98" s="168">
        <v>15000</v>
      </c>
      <c r="F98" s="134"/>
      <c r="G98" s="168"/>
      <c r="H98" s="8"/>
      <c r="I98" s="204"/>
      <c r="J98" s="204"/>
      <c r="K98" s="93"/>
    </row>
    <row r="99" spans="1:11" ht="12.75">
      <c r="A99" s="7" t="s">
        <v>186</v>
      </c>
      <c r="B99" s="7" t="s">
        <v>241</v>
      </c>
      <c r="C99" s="77">
        <v>21400</v>
      </c>
      <c r="D99" s="173"/>
      <c r="E99" s="81">
        <f>SUM(E97:E98)</f>
        <v>18217.875</v>
      </c>
      <c r="F99" s="92"/>
      <c r="G99" s="81"/>
      <c r="H99" s="8"/>
      <c r="I99" s="204"/>
      <c r="J99" s="204"/>
      <c r="K99"/>
    </row>
    <row r="100" spans="2:12" ht="13.5" thickBot="1">
      <c r="B100" s="55" t="s">
        <v>167</v>
      </c>
      <c r="C100" s="56" t="e">
        <f>C93+C24+C94</f>
        <v>#REF!</v>
      </c>
      <c r="D100" s="104">
        <f>D93</f>
        <v>183900</v>
      </c>
      <c r="E100" s="151">
        <f>E93+E99</f>
        <v>162960.865</v>
      </c>
      <c r="F100" s="112">
        <f>F93</f>
        <v>179818</v>
      </c>
      <c r="G100" s="151"/>
      <c r="H100" s="120">
        <f>H93+H94+H95+H96+H99</f>
        <v>216914</v>
      </c>
      <c r="I100" s="120"/>
      <c r="J100" s="120"/>
      <c r="K100" s="57"/>
      <c r="L100" s="49">
        <f>(H100-F100)/F100</f>
        <v>0.20629747856165678</v>
      </c>
    </row>
    <row r="101" spans="1:12" ht="13.5" customHeight="1">
      <c r="A101" s="251" t="s">
        <v>169</v>
      </c>
      <c r="B101" s="145" t="s">
        <v>168</v>
      </c>
      <c r="C101" s="146"/>
      <c r="D101" s="147">
        <v>4000</v>
      </c>
      <c r="E101" s="166">
        <v>3500</v>
      </c>
      <c r="F101" s="148">
        <v>4000</v>
      </c>
      <c r="G101" s="166"/>
      <c r="H101" s="160">
        <v>3500</v>
      </c>
      <c r="I101" s="205"/>
      <c r="J101" s="205"/>
      <c r="K101" s="59"/>
      <c r="L101" s="6"/>
    </row>
    <row r="102" spans="1:12" ht="15" customHeight="1" thickBot="1">
      <c r="A102" s="252"/>
      <c r="B102" s="162" t="s">
        <v>61</v>
      </c>
      <c r="C102" s="149"/>
      <c r="D102" s="150">
        <v>13000</v>
      </c>
      <c r="E102" s="167">
        <f>12549.93+636+1269+13592.68</f>
        <v>28047.61</v>
      </c>
      <c r="F102" s="150">
        <v>17000</v>
      </c>
      <c r="G102" s="167"/>
      <c r="H102" s="161">
        <v>28000</v>
      </c>
      <c r="I102" s="206"/>
      <c r="J102" s="206"/>
      <c r="K102" s="59" t="s">
        <v>232</v>
      </c>
      <c r="L102" s="6"/>
    </row>
    <row r="103" spans="2:12" ht="12.75">
      <c r="B103" s="20" t="s">
        <v>148</v>
      </c>
      <c r="C103" s="58"/>
      <c r="D103" s="105">
        <f>D100-(D101+D102)</f>
        <v>166900</v>
      </c>
      <c r="E103" s="153">
        <f>E100-(E101+E102)</f>
        <v>131413.255</v>
      </c>
      <c r="F103" s="152">
        <f>F100-(F101+F102)</f>
        <v>158818</v>
      </c>
      <c r="G103" s="153"/>
      <c r="H103" s="172">
        <f>H100-(H101+H102)</f>
        <v>185414</v>
      </c>
      <c r="I103" s="207"/>
      <c r="J103" s="207"/>
      <c r="K103" s="21"/>
      <c r="L103" s="6"/>
    </row>
    <row r="104" spans="2:11" ht="13.5" customHeight="1">
      <c r="B104" s="7" t="s">
        <v>173</v>
      </c>
      <c r="C104" s="38"/>
      <c r="D104" s="139">
        <f>'FY2013 Highway'!C62</f>
        <v>576400</v>
      </c>
      <c r="E104" s="171">
        <f>'FY2013 Highway'!D62</f>
        <v>608138.5549999999</v>
      </c>
      <c r="F104" s="83">
        <f>'FY2013 Highway'!E62</f>
        <v>687825</v>
      </c>
      <c r="G104" s="171"/>
      <c r="H104" s="18">
        <f>'FY2013 Highway'!G62</f>
        <v>703918</v>
      </c>
      <c r="I104" s="18"/>
      <c r="J104" s="18"/>
      <c r="K104" s="10"/>
    </row>
    <row r="105" spans="1:11" ht="13.5" customHeight="1">
      <c r="A105" s="1" t="s">
        <v>99</v>
      </c>
      <c r="B105" s="7" t="s">
        <v>144</v>
      </c>
      <c r="C105" s="38"/>
      <c r="D105" s="139">
        <f>D103+D104</f>
        <v>743300</v>
      </c>
      <c r="E105" s="171">
        <f>E103+E104</f>
        <v>739551.8099999999</v>
      </c>
      <c r="F105" s="83">
        <f>F103+F104</f>
        <v>846643</v>
      </c>
      <c r="G105" s="171"/>
      <c r="H105" s="18">
        <f>H103+H104</f>
        <v>889332</v>
      </c>
      <c r="I105" s="18"/>
      <c r="J105" s="18"/>
      <c r="K105" s="74">
        <f>(H105-F105)/F105</f>
        <v>0.0504214881597084</v>
      </c>
    </row>
    <row r="106" spans="1:11" ht="12.75">
      <c r="A106" s="8"/>
      <c r="B106" s="8"/>
      <c r="C106" s="38"/>
      <c r="D106" s="62"/>
      <c r="E106" s="69"/>
      <c r="F106" s="66"/>
      <c r="G106" s="69"/>
      <c r="H106" s="7"/>
      <c r="I106" s="7"/>
      <c r="J106" s="7"/>
      <c r="K106" s="10"/>
    </row>
    <row r="109" spans="2:5" s="33" customFormat="1" ht="12.75">
      <c r="B109" s="33" t="s">
        <v>132</v>
      </c>
      <c r="E109" s="70"/>
    </row>
    <row r="110" spans="1:11" ht="12.75">
      <c r="A110" s="8"/>
      <c r="B110" s="8"/>
      <c r="C110" s="8"/>
      <c r="D110" s="63"/>
      <c r="E110" s="71"/>
      <c r="F110" s="67"/>
      <c r="G110" s="67"/>
      <c r="H110" s="8"/>
      <c r="I110" s="8"/>
      <c r="J110" s="8"/>
      <c r="K110" s="10"/>
    </row>
    <row r="111" spans="1:11" ht="12.75">
      <c r="A111" s="7" t="s">
        <v>231</v>
      </c>
      <c r="B111" s="8"/>
      <c r="C111" s="8"/>
      <c r="D111" s="63"/>
      <c r="E111" s="71"/>
      <c r="F111" s="67"/>
      <c r="G111" s="67"/>
      <c r="H111" s="8"/>
      <c r="I111" s="8"/>
      <c r="J111" s="8"/>
      <c r="K111" s="10"/>
    </row>
    <row r="112" spans="1:11" ht="12.75">
      <c r="A112" s="8" t="s">
        <v>119</v>
      </c>
      <c r="B112" s="8"/>
      <c r="C112" s="8"/>
      <c r="D112" s="63"/>
      <c r="E112" s="71"/>
      <c r="F112" s="67"/>
      <c r="G112" s="67"/>
      <c r="H112" s="8"/>
      <c r="I112" s="8"/>
      <c r="J112" s="8"/>
      <c r="K112" s="10"/>
    </row>
    <row r="113" spans="1:11" ht="12.75">
      <c r="A113" s="8" t="s">
        <v>120</v>
      </c>
      <c r="B113" s="8"/>
      <c r="C113" s="8"/>
      <c r="D113" s="63"/>
      <c r="E113" s="71"/>
      <c r="F113" s="67"/>
      <c r="G113" s="67"/>
      <c r="H113" s="8"/>
      <c r="I113" s="8"/>
      <c r="J113" s="8"/>
      <c r="K113" s="10"/>
    </row>
    <row r="114" spans="1:11" ht="12.75">
      <c r="A114" s="8"/>
      <c r="B114" s="8"/>
      <c r="C114" s="8"/>
      <c r="D114" s="63"/>
      <c r="E114" s="71"/>
      <c r="F114" s="67"/>
      <c r="G114" s="67"/>
      <c r="H114" s="8"/>
      <c r="I114" s="8"/>
      <c r="J114" s="8"/>
      <c r="K114" s="10"/>
    </row>
    <row r="115" spans="1:11" ht="12.75">
      <c r="A115" s="8"/>
      <c r="B115" s="31">
        <v>41214</v>
      </c>
      <c r="C115" s="31">
        <v>41395</v>
      </c>
      <c r="D115" s="64">
        <v>40860</v>
      </c>
      <c r="E115" s="71"/>
      <c r="F115" s="67"/>
      <c r="G115" s="67"/>
      <c r="H115" s="8"/>
      <c r="I115" s="8"/>
      <c r="J115" s="8"/>
      <c r="K115" s="10"/>
    </row>
    <row r="116" spans="1:11" ht="12.75">
      <c r="A116" s="15">
        <v>500000</v>
      </c>
      <c r="B116" s="8"/>
      <c r="C116" s="8"/>
      <c r="D116" s="63"/>
      <c r="E116" s="71"/>
      <c r="F116" s="67"/>
      <c r="G116" s="67"/>
      <c r="H116" s="8"/>
      <c r="I116" s="8"/>
      <c r="J116" s="8"/>
      <c r="K116" s="10"/>
    </row>
    <row r="117" spans="1:11" ht="12.75">
      <c r="A117" s="8" t="s">
        <v>122</v>
      </c>
      <c r="B117" s="8">
        <v>3482</v>
      </c>
      <c r="C117" s="8">
        <v>5913</v>
      </c>
      <c r="D117" s="63">
        <f>50000+5913</f>
        <v>55913</v>
      </c>
      <c r="E117" s="71"/>
      <c r="F117" s="67"/>
      <c r="G117" s="67"/>
      <c r="H117" s="8"/>
      <c r="I117" s="8"/>
      <c r="J117" s="8"/>
      <c r="K117" s="10"/>
    </row>
    <row r="118" spans="1:11" ht="12.75">
      <c r="A118" s="8" t="s">
        <v>121</v>
      </c>
      <c r="B118" s="8">
        <v>4843</v>
      </c>
      <c r="C118" s="8">
        <v>8224</v>
      </c>
      <c r="D118" s="63">
        <f>25000+8224</f>
        <v>33224</v>
      </c>
      <c r="E118" s="71"/>
      <c r="F118" s="67"/>
      <c r="G118" s="67"/>
      <c r="H118" s="8"/>
      <c r="I118" s="8"/>
      <c r="J118" s="8"/>
      <c r="K118" s="10"/>
    </row>
    <row r="119" ht="12.75">
      <c r="B119">
        <f>B117+C117</f>
        <v>9395</v>
      </c>
    </row>
    <row r="121" ht="12.75">
      <c r="B121">
        <f>(3500+5913)/500</f>
        <v>18.826</v>
      </c>
    </row>
    <row r="122" ht="12.75">
      <c r="B122">
        <f>100*B121</f>
        <v>1882.6000000000001</v>
      </c>
    </row>
    <row r="124" spans="1:2" ht="12.75">
      <c r="A124">
        <v>2100000</v>
      </c>
      <c r="B124" t="s">
        <v>143</v>
      </c>
    </row>
    <row r="125" spans="1:2" ht="12.75">
      <c r="A125" s="48">
        <v>1500000</v>
      </c>
      <c r="B125" t="s">
        <v>137</v>
      </c>
    </row>
    <row r="126" spans="1:2" ht="12.75">
      <c r="A126" s="48">
        <v>12000</v>
      </c>
      <c r="B126" t="s">
        <v>139</v>
      </c>
    </row>
    <row r="127" spans="1:2" ht="12.75">
      <c r="A127" s="48">
        <v>36000</v>
      </c>
      <c r="B127" t="s">
        <v>138</v>
      </c>
    </row>
    <row r="128" spans="1:2" ht="12.75">
      <c r="A128" s="1">
        <f>SUM(A124:A127)</f>
        <v>3648000</v>
      </c>
      <c r="B128" s="48">
        <v>4000000</v>
      </c>
    </row>
  </sheetData>
  <sheetProtection/>
  <mergeCells count="1">
    <mergeCell ref="A101:A102"/>
  </mergeCells>
  <printOptions/>
  <pageMargins left="0.75" right="0.75" top="1" bottom="1" header="0.5" footer="0.5"/>
  <pageSetup fitToHeight="1" fitToWidth="1" horizontalDpi="600" verticalDpi="600" orientation="portrait" scale="89" r:id="rId3"/>
  <headerFooter alignWithMargins="0">
    <oddHeader>&amp;C&amp;A&amp;RPage &amp;P</oddHeader>
    <oddFooter>&amp;L&amp;D&amp;R&amp;F</oddFooter>
  </headerFooter>
  <ignoredErrors>
    <ignoredError sqref="D52 D41 E71" formula="1"/>
    <ignoredError sqref="E37 D71 F7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0" sqref="G60"/>
    </sheetView>
  </sheetViews>
  <sheetFormatPr defaultColWidth="9.140625" defaultRowHeight="12.75" outlineLevelRow="2"/>
  <cols>
    <col min="1" max="1" width="19.7109375" style="0" customWidth="1"/>
    <col min="2" max="2" width="27.421875" style="0" customWidth="1"/>
    <col min="3" max="3" width="14.8515625" style="0" customWidth="1"/>
    <col min="4" max="4" width="15.7109375" style="87" customWidth="1"/>
    <col min="5" max="5" width="16.7109375" style="0" customWidth="1"/>
    <col min="6" max="6" width="16.7109375" style="250" customWidth="1"/>
    <col min="7" max="9" width="15.140625" style="0" customWidth="1"/>
    <col min="10" max="10" width="25.8515625" style="0" customWidth="1"/>
    <col min="11" max="11" width="9.140625" style="0" customWidth="1"/>
  </cols>
  <sheetData>
    <row r="1" spans="1:10" ht="12.75">
      <c r="A1" s="22" t="s">
        <v>62</v>
      </c>
      <c r="B1" s="23"/>
      <c r="C1" s="75"/>
      <c r="D1" s="84"/>
      <c r="E1" s="79"/>
      <c r="F1" s="238"/>
      <c r="G1" s="23"/>
      <c r="H1" s="75"/>
      <c r="I1" s="75"/>
      <c r="J1" s="24"/>
    </row>
    <row r="2" spans="1:10" ht="13.5" thickBot="1">
      <c r="A2" s="25" t="s">
        <v>244</v>
      </c>
      <c r="B2" s="26" t="s">
        <v>0</v>
      </c>
      <c r="C2" s="76" t="s">
        <v>63</v>
      </c>
      <c r="D2" s="85" t="s">
        <v>103</v>
      </c>
      <c r="E2" s="80" t="s">
        <v>245</v>
      </c>
      <c r="F2" s="239" t="s">
        <v>307</v>
      </c>
      <c r="G2" s="27" t="s">
        <v>102</v>
      </c>
      <c r="H2" s="234" t="s">
        <v>308</v>
      </c>
      <c r="I2" s="234" t="s">
        <v>252</v>
      </c>
      <c r="J2" s="28" t="s">
        <v>101</v>
      </c>
    </row>
    <row r="3" spans="1:10" ht="165.75" outlineLevel="1">
      <c r="A3" s="19">
        <v>7110</v>
      </c>
      <c r="B3" s="19" t="s">
        <v>64</v>
      </c>
      <c r="C3" s="121">
        <v>0</v>
      </c>
      <c r="D3" s="122">
        <f>38493.01+168282.95</f>
        <v>206775.96000000002</v>
      </c>
      <c r="E3" s="123">
        <v>201800</v>
      </c>
      <c r="F3" s="240">
        <v>251437.79</v>
      </c>
      <c r="G3" s="124">
        <v>210000</v>
      </c>
      <c r="H3" s="124"/>
      <c r="I3" s="124"/>
      <c r="J3" s="237" t="s">
        <v>135</v>
      </c>
    </row>
    <row r="4" spans="1:10" ht="12.75" outlineLevel="1">
      <c r="A4" s="9">
        <v>7120</v>
      </c>
      <c r="B4" s="9" t="s">
        <v>65</v>
      </c>
      <c r="C4" s="61">
        <v>0</v>
      </c>
      <c r="D4" s="86">
        <f>3850</f>
        <v>3850</v>
      </c>
      <c r="E4" s="82">
        <v>4200</v>
      </c>
      <c r="F4" s="241">
        <v>4200</v>
      </c>
      <c r="G4" s="125">
        <v>4200</v>
      </c>
      <c r="H4" s="125"/>
      <c r="I4" s="125"/>
      <c r="J4" s="8"/>
    </row>
    <row r="5" spans="1:10" ht="12.75">
      <c r="A5" s="7" t="s">
        <v>179</v>
      </c>
      <c r="B5" s="7" t="s">
        <v>66</v>
      </c>
      <c r="C5" s="77">
        <v>190000</v>
      </c>
      <c r="D5" s="94">
        <f>D3+D4</f>
        <v>210625.96000000002</v>
      </c>
      <c r="E5" s="164">
        <v>205000</v>
      </c>
      <c r="F5" s="242">
        <v>205000</v>
      </c>
      <c r="G5" s="126">
        <f>G3+G4</f>
        <v>214200</v>
      </c>
      <c r="H5" s="126"/>
      <c r="I5" s="126"/>
      <c r="J5" s="8"/>
    </row>
    <row r="6" spans="1:10" ht="12.75" outlineLevel="1">
      <c r="A6" s="9">
        <v>7210</v>
      </c>
      <c r="B6" s="12" t="s">
        <v>67</v>
      </c>
      <c r="C6" s="78">
        <v>0</v>
      </c>
      <c r="D6" s="86">
        <v>165</v>
      </c>
      <c r="E6" s="127">
        <v>250</v>
      </c>
      <c r="F6" s="241">
        <v>60</v>
      </c>
      <c r="G6" s="11">
        <v>250</v>
      </c>
      <c r="H6" s="11">
        <v>763</v>
      </c>
      <c r="I6" s="11"/>
      <c r="J6" s="8"/>
    </row>
    <row r="7" spans="1:10" ht="51" outlineLevel="1">
      <c r="A7" s="9">
        <v>7220</v>
      </c>
      <c r="B7" s="12" t="s">
        <v>10</v>
      </c>
      <c r="C7" s="78">
        <v>0</v>
      </c>
      <c r="D7" s="86">
        <f>77544.84</f>
        <v>77544.84</v>
      </c>
      <c r="E7" s="128">
        <v>73000</v>
      </c>
      <c r="F7" s="243">
        <v>84684.36</v>
      </c>
      <c r="G7" s="11">
        <v>88000</v>
      </c>
      <c r="H7" s="11"/>
      <c r="I7" s="11"/>
      <c r="J7" s="10" t="s">
        <v>104</v>
      </c>
    </row>
    <row r="8" spans="1:10" ht="12.75" outlineLevel="1">
      <c r="A8" s="9">
        <v>7230</v>
      </c>
      <c r="B8" s="12" t="s">
        <v>68</v>
      </c>
      <c r="C8" s="78">
        <v>0</v>
      </c>
      <c r="D8" s="86">
        <v>1030.25</v>
      </c>
      <c r="E8" s="128">
        <v>950</v>
      </c>
      <c r="F8" s="243">
        <v>951</v>
      </c>
      <c r="G8" s="11">
        <f>950</f>
        <v>950</v>
      </c>
      <c r="H8" s="11"/>
      <c r="I8" s="11"/>
      <c r="J8" s="8" t="s">
        <v>105</v>
      </c>
    </row>
    <row r="9" spans="1:10" ht="25.5" outlineLevel="1">
      <c r="A9" s="9">
        <v>7260</v>
      </c>
      <c r="B9" s="12" t="s">
        <v>11</v>
      </c>
      <c r="C9" s="78">
        <v>0</v>
      </c>
      <c r="D9" s="86">
        <v>8271.11</v>
      </c>
      <c r="E9" s="128">
        <v>8000</v>
      </c>
      <c r="F9" s="243">
        <v>9279.61</v>
      </c>
      <c r="G9" s="11">
        <v>8500</v>
      </c>
      <c r="H9" s="11"/>
      <c r="I9" s="11"/>
      <c r="J9" s="10" t="s">
        <v>106</v>
      </c>
    </row>
    <row r="10" spans="1:10" ht="127.5" outlineLevel="1">
      <c r="A10" s="9">
        <v>7270</v>
      </c>
      <c r="B10" s="12" t="s">
        <v>69</v>
      </c>
      <c r="C10" s="78">
        <v>0</v>
      </c>
      <c r="D10" s="86">
        <f>6650.73</f>
        <v>6650.73</v>
      </c>
      <c r="E10" s="128">
        <v>6500</v>
      </c>
      <c r="F10" s="243">
        <v>6910.87</v>
      </c>
      <c r="G10" s="125">
        <f>(400*5)+(10*52)</f>
        <v>2520</v>
      </c>
      <c r="H10" s="125"/>
      <c r="I10" s="125"/>
      <c r="J10" s="10" t="s">
        <v>133</v>
      </c>
    </row>
    <row r="11" spans="1:10" ht="12.75" outlineLevel="1">
      <c r="A11" s="9">
        <v>7280</v>
      </c>
      <c r="B11" s="12" t="s">
        <v>70</v>
      </c>
      <c r="C11" s="78">
        <v>0</v>
      </c>
      <c r="D11" s="86">
        <v>0</v>
      </c>
      <c r="E11" s="128">
        <v>250</v>
      </c>
      <c r="F11" s="243">
        <v>114.67</v>
      </c>
      <c r="G11" s="11">
        <f>250</f>
        <v>250</v>
      </c>
      <c r="H11" s="11"/>
      <c r="I11" s="11"/>
      <c r="J11" s="8" t="s">
        <v>107</v>
      </c>
    </row>
    <row r="12" spans="1:10" ht="12.75" outlineLevel="1">
      <c r="A12" s="9">
        <v>7290</v>
      </c>
      <c r="B12" s="12" t="s">
        <v>71</v>
      </c>
      <c r="C12" s="78">
        <v>0</v>
      </c>
      <c r="D12" s="86">
        <v>0</v>
      </c>
      <c r="E12" s="128">
        <v>0</v>
      </c>
      <c r="F12" s="241" t="s">
        <v>142</v>
      </c>
      <c r="G12" s="11">
        <v>1000</v>
      </c>
      <c r="H12" s="11"/>
      <c r="I12" s="11"/>
      <c r="J12" s="8"/>
    </row>
    <row r="13" spans="1:10" ht="12.75">
      <c r="A13" s="7" t="s">
        <v>180</v>
      </c>
      <c r="B13" s="7" t="s">
        <v>72</v>
      </c>
      <c r="C13" s="77">
        <v>76000</v>
      </c>
      <c r="D13" s="165">
        <f aca="true" t="shared" si="0" ref="D13:I13">SUM(D6:D12)</f>
        <v>93661.93</v>
      </c>
      <c r="E13" s="164">
        <f t="shared" si="0"/>
        <v>88950</v>
      </c>
      <c r="F13" s="242">
        <f t="shared" si="0"/>
        <v>102000.51</v>
      </c>
      <c r="G13" s="14">
        <f t="shared" si="0"/>
        <v>101470</v>
      </c>
      <c r="H13" s="14">
        <f t="shared" si="0"/>
        <v>763</v>
      </c>
      <c r="I13" s="14">
        <f t="shared" si="0"/>
        <v>0</v>
      </c>
      <c r="J13" s="8"/>
    </row>
    <row r="14" spans="1:10" ht="25.5">
      <c r="A14" s="29" t="s">
        <v>195</v>
      </c>
      <c r="B14" s="29" t="s">
        <v>182</v>
      </c>
      <c r="C14" s="77">
        <v>14000</v>
      </c>
      <c r="D14" s="129">
        <f>16097.58</f>
        <v>16097.58</v>
      </c>
      <c r="E14" s="81">
        <v>16000</v>
      </c>
      <c r="F14" s="242"/>
      <c r="G14" s="14">
        <v>16600</v>
      </c>
      <c r="H14" s="14"/>
      <c r="I14" s="14"/>
      <c r="J14" s="8" t="s">
        <v>118</v>
      </c>
    </row>
    <row r="15" spans="1:10" ht="12.75" outlineLevel="1">
      <c r="A15" s="7">
        <v>7310</v>
      </c>
      <c r="B15" s="7" t="s">
        <v>73</v>
      </c>
      <c r="C15" s="61"/>
      <c r="D15" s="86">
        <f>3256.49</f>
        <v>3256.49</v>
      </c>
      <c r="E15" s="82">
        <v>3350</v>
      </c>
      <c r="F15" s="241"/>
      <c r="G15" s="11">
        <f>3350</f>
        <v>3350</v>
      </c>
      <c r="H15" s="11"/>
      <c r="I15" s="11"/>
      <c r="J15" s="10"/>
    </row>
    <row r="16" spans="1:10" ht="25.5" outlineLevel="1">
      <c r="A16" s="7">
        <v>7320</v>
      </c>
      <c r="B16" s="7" t="s">
        <v>74</v>
      </c>
      <c r="C16" s="61"/>
      <c r="D16" s="86">
        <v>5418</v>
      </c>
      <c r="E16" s="82">
        <v>7000</v>
      </c>
      <c r="F16" s="241"/>
      <c r="G16" s="11">
        <f>7000</f>
        <v>7000</v>
      </c>
      <c r="H16" s="11"/>
      <c r="I16" s="11"/>
      <c r="J16" s="10" t="s">
        <v>108</v>
      </c>
    </row>
    <row r="17" spans="1:10" ht="24.75" customHeight="1" outlineLevel="1">
      <c r="A17" s="7">
        <v>7330</v>
      </c>
      <c r="B17" s="7" t="s">
        <v>14</v>
      </c>
      <c r="C17" s="61"/>
      <c r="D17" s="86">
        <v>1010.77</v>
      </c>
      <c r="E17" s="82">
        <v>1100</v>
      </c>
      <c r="F17" s="241"/>
      <c r="G17" s="11">
        <f>1100</f>
        <v>1100</v>
      </c>
      <c r="H17" s="11"/>
      <c r="I17" s="11"/>
      <c r="J17" s="10" t="s">
        <v>109</v>
      </c>
    </row>
    <row r="18" spans="1:10" ht="25.5" outlineLevel="1">
      <c r="A18" s="7">
        <v>7340</v>
      </c>
      <c r="B18" s="7" t="s">
        <v>75</v>
      </c>
      <c r="C18" s="61"/>
      <c r="D18" s="86">
        <v>2718.29</v>
      </c>
      <c r="E18" s="82">
        <v>800</v>
      </c>
      <c r="F18" s="241"/>
      <c r="G18" s="11">
        <f>1000</f>
        <v>1000</v>
      </c>
      <c r="H18" s="11"/>
      <c r="I18" s="11"/>
      <c r="J18" s="169" t="s">
        <v>309</v>
      </c>
    </row>
    <row r="19" spans="1:10" ht="51" outlineLevel="1">
      <c r="A19" s="7">
        <v>7360</v>
      </c>
      <c r="B19" s="7" t="s">
        <v>76</v>
      </c>
      <c r="C19" s="61"/>
      <c r="D19" s="86">
        <v>1091.59</v>
      </c>
      <c r="E19" s="82">
        <v>300</v>
      </c>
      <c r="F19" s="241"/>
      <c r="G19" s="11">
        <v>600</v>
      </c>
      <c r="H19" s="11"/>
      <c r="I19" s="11"/>
      <c r="J19" s="10" t="s">
        <v>110</v>
      </c>
    </row>
    <row r="20" spans="1:10" ht="12.75" outlineLevel="1">
      <c r="A20" s="7">
        <v>7370</v>
      </c>
      <c r="B20" s="7" t="s">
        <v>77</v>
      </c>
      <c r="C20" s="61"/>
      <c r="D20" s="86">
        <v>960</v>
      </c>
      <c r="E20" s="82">
        <v>960</v>
      </c>
      <c r="F20" s="241"/>
      <c r="G20" s="11">
        <f>85*12</f>
        <v>1020</v>
      </c>
      <c r="H20" s="11"/>
      <c r="I20" s="11"/>
      <c r="J20" s="10" t="s">
        <v>111</v>
      </c>
    </row>
    <row r="21" spans="1:10" ht="12.75" outlineLevel="1">
      <c r="A21" s="7">
        <v>7380</v>
      </c>
      <c r="B21" s="7" t="s">
        <v>78</v>
      </c>
      <c r="C21" s="61"/>
      <c r="D21" s="86">
        <v>6208.45</v>
      </c>
      <c r="E21" s="82">
        <v>6500</v>
      </c>
      <c r="F21" s="241"/>
      <c r="G21" s="11">
        <v>6500</v>
      </c>
      <c r="H21" s="11"/>
      <c r="I21" s="11"/>
      <c r="J21" s="8"/>
    </row>
    <row r="22" spans="1:10" ht="12.75">
      <c r="A22" s="7" t="s">
        <v>181</v>
      </c>
      <c r="B22" s="7" t="s">
        <v>183</v>
      </c>
      <c r="C22" s="77">
        <v>19000</v>
      </c>
      <c r="D22" s="165">
        <f>SUM(D15:D21)</f>
        <v>20663.59</v>
      </c>
      <c r="E22" s="164">
        <f>SUM(E15:E21)</f>
        <v>20010</v>
      </c>
      <c r="F22" s="242"/>
      <c r="G22" s="14">
        <f>SUM(G15:G21)</f>
        <v>20570</v>
      </c>
      <c r="H22" s="14"/>
      <c r="I22" s="14"/>
      <c r="J22" s="8"/>
    </row>
    <row r="23" spans="1:10" ht="12" customHeight="1" outlineLevel="1">
      <c r="A23" s="135">
        <v>7410</v>
      </c>
      <c r="B23" s="7" t="s">
        <v>79</v>
      </c>
      <c r="C23" s="61">
        <v>55000</v>
      </c>
      <c r="D23" s="86">
        <v>36896.25</v>
      </c>
      <c r="E23" s="82">
        <v>40000</v>
      </c>
      <c r="F23" s="241"/>
      <c r="G23" s="11">
        <v>30000</v>
      </c>
      <c r="H23" s="11"/>
      <c r="I23" s="11"/>
      <c r="J23" s="10" t="s">
        <v>112</v>
      </c>
    </row>
    <row r="24" spans="1:10" ht="12.75" customHeight="1" outlineLevel="1">
      <c r="A24" s="135">
        <v>7420</v>
      </c>
      <c r="B24" s="7" t="s">
        <v>80</v>
      </c>
      <c r="C24" s="61">
        <v>12000</v>
      </c>
      <c r="D24" s="86">
        <v>15960.21</v>
      </c>
      <c r="E24" s="82">
        <v>12000</v>
      </c>
      <c r="F24" s="241"/>
      <c r="G24" s="11">
        <v>12000</v>
      </c>
      <c r="H24" s="11"/>
      <c r="I24" s="11"/>
      <c r="J24" s="10" t="s">
        <v>130</v>
      </c>
    </row>
    <row r="25" spans="1:10" ht="12.75" outlineLevel="1">
      <c r="A25" s="135">
        <v>7430</v>
      </c>
      <c r="B25" s="50" t="s">
        <v>178</v>
      </c>
      <c r="C25" s="61">
        <v>0</v>
      </c>
      <c r="D25" s="168">
        <v>118539</v>
      </c>
      <c r="E25" s="82">
        <v>5000</v>
      </c>
      <c r="F25" s="241"/>
      <c r="G25" s="11">
        <v>7000</v>
      </c>
      <c r="H25" s="11"/>
      <c r="I25" s="11"/>
      <c r="J25" s="10" t="s">
        <v>113</v>
      </c>
    </row>
    <row r="26" spans="1:10" ht="102" outlineLevel="1">
      <c r="A26" s="136">
        <v>7435</v>
      </c>
      <c r="B26" s="50" t="s">
        <v>81</v>
      </c>
      <c r="C26" s="61">
        <v>50000</v>
      </c>
      <c r="D26" s="168">
        <v>0</v>
      </c>
      <c r="E26" s="82">
        <v>25000</v>
      </c>
      <c r="F26" s="241"/>
      <c r="G26" s="11">
        <f>20000</f>
        <v>20000</v>
      </c>
      <c r="H26" s="11"/>
      <c r="I26" s="11"/>
      <c r="J26" s="88" t="s">
        <v>177</v>
      </c>
    </row>
    <row r="27" spans="1:10" ht="25.5" outlineLevel="1">
      <c r="A27" s="135">
        <v>7440</v>
      </c>
      <c r="B27" s="7" t="s">
        <v>82</v>
      </c>
      <c r="C27" s="61">
        <v>10000</v>
      </c>
      <c r="D27" s="86">
        <v>4248</v>
      </c>
      <c r="E27" s="127">
        <v>10000</v>
      </c>
      <c r="F27" s="241"/>
      <c r="G27" s="11">
        <v>10000</v>
      </c>
      <c r="H27" s="11"/>
      <c r="I27" s="11"/>
      <c r="J27" s="10" t="s">
        <v>114</v>
      </c>
    </row>
    <row r="28" spans="1:10" ht="63.75" outlineLevel="1">
      <c r="A28" s="135">
        <v>7450</v>
      </c>
      <c r="B28" s="7" t="s">
        <v>83</v>
      </c>
      <c r="C28" s="61">
        <v>10000</v>
      </c>
      <c r="D28" s="86">
        <v>12670.16</v>
      </c>
      <c r="E28" s="82">
        <v>10000</v>
      </c>
      <c r="F28" s="241"/>
      <c r="G28" s="11">
        <v>8000</v>
      </c>
      <c r="H28" s="11"/>
      <c r="I28" s="11"/>
      <c r="J28" s="10" t="s">
        <v>115</v>
      </c>
    </row>
    <row r="29" spans="1:10" ht="21" customHeight="1" outlineLevel="1">
      <c r="A29" s="135">
        <v>7460</v>
      </c>
      <c r="B29" s="7" t="s">
        <v>84</v>
      </c>
      <c r="C29" s="61">
        <v>5000</v>
      </c>
      <c r="D29" s="86">
        <v>1176.8</v>
      </c>
      <c r="E29" s="82">
        <v>2500</v>
      </c>
      <c r="F29" s="241"/>
      <c r="G29" s="11">
        <v>1500</v>
      </c>
      <c r="H29" s="11"/>
      <c r="I29" s="11"/>
      <c r="J29" s="10" t="s">
        <v>116</v>
      </c>
    </row>
    <row r="30" spans="1:10" ht="153" outlineLevel="1">
      <c r="A30" s="135">
        <v>7461</v>
      </c>
      <c r="B30" s="7" t="s">
        <v>85</v>
      </c>
      <c r="C30" s="61">
        <v>100000</v>
      </c>
      <c r="D30" s="168" t="s">
        <v>132</v>
      </c>
      <c r="E30" s="82">
        <v>150000</v>
      </c>
      <c r="F30" s="241"/>
      <c r="G30" s="11">
        <v>100000</v>
      </c>
      <c r="H30" s="11"/>
      <c r="I30" s="11"/>
      <c r="J30" s="10" t="s">
        <v>136</v>
      </c>
    </row>
    <row r="31" spans="1:10" ht="12.75" outlineLevel="1">
      <c r="A31" s="135">
        <v>7470</v>
      </c>
      <c r="B31" s="7" t="s">
        <v>86</v>
      </c>
      <c r="C31" s="61">
        <v>5000</v>
      </c>
      <c r="D31" s="131">
        <v>4400</v>
      </c>
      <c r="E31" s="82">
        <v>4500</v>
      </c>
      <c r="F31" s="241"/>
      <c r="G31" s="11">
        <v>4500</v>
      </c>
      <c r="H31" s="11"/>
      <c r="I31" s="11"/>
      <c r="J31" s="8"/>
    </row>
    <row r="32" spans="1:10" ht="12.75" outlineLevel="1">
      <c r="A32" s="135">
        <v>7480</v>
      </c>
      <c r="B32" s="7" t="s">
        <v>87</v>
      </c>
      <c r="C32" s="61">
        <v>0</v>
      </c>
      <c r="D32" s="86">
        <v>704.59</v>
      </c>
      <c r="E32" s="82">
        <v>1500</v>
      </c>
      <c r="F32" s="241"/>
      <c r="G32" s="11">
        <v>1000</v>
      </c>
      <c r="H32" s="11"/>
      <c r="I32" s="11"/>
      <c r="J32" s="8"/>
    </row>
    <row r="33" spans="1:10" ht="12.75" outlineLevel="1">
      <c r="A33" s="135">
        <v>7490</v>
      </c>
      <c r="B33" s="7" t="s">
        <v>88</v>
      </c>
      <c r="C33" s="61">
        <v>0</v>
      </c>
      <c r="D33" s="86">
        <v>1287.45</v>
      </c>
      <c r="E33" s="82">
        <v>500</v>
      </c>
      <c r="F33" s="241"/>
      <c r="G33" s="11">
        <v>500</v>
      </c>
      <c r="H33" s="11"/>
      <c r="I33" s="11"/>
      <c r="J33" s="8" t="s">
        <v>134</v>
      </c>
    </row>
    <row r="34" spans="1:10" ht="12.75" hidden="1">
      <c r="A34" s="16" t="s">
        <v>184</v>
      </c>
      <c r="B34" s="16" t="s">
        <v>89</v>
      </c>
      <c r="C34" s="89"/>
      <c r="D34" s="129">
        <f>SUM(D23:D33)</f>
        <v>195882.46</v>
      </c>
      <c r="E34" s="90">
        <f>SUM(E23:E33)</f>
        <v>261000</v>
      </c>
      <c r="F34" s="242"/>
      <c r="G34" s="91">
        <f>SUM(G23:G33)</f>
        <v>194500</v>
      </c>
      <c r="H34" s="91"/>
      <c r="I34" s="91"/>
      <c r="J34" s="8"/>
    </row>
    <row r="35" spans="1:10" ht="12.75" outlineLevel="1">
      <c r="A35" s="135">
        <v>7685</v>
      </c>
      <c r="B35" s="7" t="s">
        <v>90</v>
      </c>
      <c r="C35" s="78">
        <v>45000</v>
      </c>
      <c r="D35" s="86">
        <v>65083.14</v>
      </c>
      <c r="E35" s="82">
        <v>45000</v>
      </c>
      <c r="F35" s="241">
        <v>185388.96</v>
      </c>
      <c r="G35" s="11">
        <v>65000</v>
      </c>
      <c r="H35" s="11"/>
      <c r="I35" s="11"/>
      <c r="J35" s="8"/>
    </row>
    <row r="36" spans="1:10" ht="12.75" outlineLevel="1">
      <c r="A36" s="135">
        <v>7680</v>
      </c>
      <c r="B36" s="7" t="s">
        <v>91</v>
      </c>
      <c r="C36" s="78">
        <v>25000</v>
      </c>
      <c r="D36" s="86">
        <v>74758.07</v>
      </c>
      <c r="E36" s="82">
        <v>30000</v>
      </c>
      <c r="F36" s="241"/>
      <c r="G36" s="11">
        <v>50000</v>
      </c>
      <c r="H36" s="11"/>
      <c r="I36" s="11"/>
      <c r="J36" s="8" t="s">
        <v>117</v>
      </c>
    </row>
    <row r="37" spans="1:10" ht="25.5" outlineLevel="1">
      <c r="A37" s="135">
        <v>7670</v>
      </c>
      <c r="B37" s="29" t="s">
        <v>92</v>
      </c>
      <c r="C37" s="78">
        <v>0</v>
      </c>
      <c r="D37" s="86">
        <v>9609.75</v>
      </c>
      <c r="E37" s="132">
        <v>13000</v>
      </c>
      <c r="F37" s="243"/>
      <c r="G37" s="11">
        <v>13000</v>
      </c>
      <c r="H37" s="11"/>
      <c r="I37" s="11"/>
      <c r="J37" s="8" t="s">
        <v>131</v>
      </c>
    </row>
    <row r="38" spans="1:10" ht="12.75" outlineLevel="2">
      <c r="A38" s="135">
        <v>7610</v>
      </c>
      <c r="B38" s="169" t="s">
        <v>233</v>
      </c>
      <c r="C38" s="78"/>
      <c r="D38" s="130">
        <v>587.98</v>
      </c>
      <c r="E38" s="132"/>
      <c r="F38" s="243"/>
      <c r="G38" s="11"/>
      <c r="H38" s="11"/>
      <c r="I38" s="11"/>
      <c r="J38" s="8"/>
    </row>
    <row r="39" spans="1:10" ht="12.75" outlineLevel="2">
      <c r="A39" s="135">
        <v>7645</v>
      </c>
      <c r="B39" s="169" t="s">
        <v>237</v>
      </c>
      <c r="C39" s="78"/>
      <c r="D39" s="130">
        <v>1018.95</v>
      </c>
      <c r="E39" s="132"/>
      <c r="F39" s="243"/>
      <c r="G39" s="11"/>
      <c r="H39" s="11"/>
      <c r="I39" s="11"/>
      <c r="J39" s="8"/>
    </row>
    <row r="40" spans="1:10" ht="12.75" outlineLevel="2">
      <c r="A40" s="135">
        <v>7665</v>
      </c>
      <c r="B40" s="169" t="s">
        <v>238</v>
      </c>
      <c r="C40" s="78"/>
      <c r="D40" s="130">
        <v>22072.89</v>
      </c>
      <c r="E40" s="132"/>
      <c r="F40" s="243"/>
      <c r="G40" s="11"/>
      <c r="H40" s="11"/>
      <c r="I40" s="11"/>
      <c r="J40" s="8"/>
    </row>
    <row r="41" spans="1:10" ht="12.75" outlineLevel="1">
      <c r="A41" s="135"/>
      <c r="B41" s="29" t="s">
        <v>239</v>
      </c>
      <c r="C41" s="77"/>
      <c r="D41" s="165">
        <f>SUM(D38:D40)</f>
        <v>23679.82</v>
      </c>
      <c r="E41" s="132"/>
      <c r="F41" s="243"/>
      <c r="G41" s="11"/>
      <c r="H41" s="11"/>
      <c r="I41" s="11"/>
      <c r="J41" s="8"/>
    </row>
    <row r="42" spans="1:10" ht="12.75" outlineLevel="2">
      <c r="A42" s="137"/>
      <c r="B42" s="17" t="s">
        <v>236</v>
      </c>
      <c r="C42" s="61">
        <v>0</v>
      </c>
      <c r="D42" s="86">
        <v>0</v>
      </c>
      <c r="E42" s="133">
        <v>0</v>
      </c>
      <c r="F42" s="244"/>
      <c r="G42" s="11">
        <v>34250</v>
      </c>
      <c r="H42" s="11"/>
      <c r="I42" s="11"/>
      <c r="J42" s="8">
        <v>34231.56</v>
      </c>
    </row>
    <row r="43" spans="1:10" ht="12.75" outlineLevel="2">
      <c r="A43" s="135">
        <v>7615</v>
      </c>
      <c r="B43" s="17" t="s">
        <v>234</v>
      </c>
      <c r="C43" s="61">
        <v>0</v>
      </c>
      <c r="D43" s="86">
        <v>21996.54</v>
      </c>
      <c r="E43" s="133">
        <v>0</v>
      </c>
      <c r="F43" s="244"/>
      <c r="G43" s="11">
        <v>22000</v>
      </c>
      <c r="H43" s="11"/>
      <c r="I43" s="11"/>
      <c r="J43" s="8">
        <f>21996.54</f>
        <v>21996.54</v>
      </c>
    </row>
    <row r="44" spans="1:10" ht="12.75" outlineLevel="2">
      <c r="A44" s="135">
        <v>7655</v>
      </c>
      <c r="B44" s="17" t="s">
        <v>235</v>
      </c>
      <c r="C44" s="61">
        <v>0</v>
      </c>
      <c r="D44" s="86">
        <v>24049.15</v>
      </c>
      <c r="E44" s="133">
        <v>0</v>
      </c>
      <c r="F44" s="244"/>
      <c r="G44" s="11">
        <v>24050</v>
      </c>
      <c r="H44" s="11"/>
      <c r="I44" s="11"/>
      <c r="J44" s="8">
        <v>24049.15</v>
      </c>
    </row>
    <row r="45" spans="1:10" ht="12.75" outlineLevel="1">
      <c r="A45" s="138">
        <v>7690</v>
      </c>
      <c r="B45" s="50" t="s">
        <v>194</v>
      </c>
      <c r="C45" s="77">
        <v>0</v>
      </c>
      <c r="D45" s="131"/>
      <c r="E45" s="81">
        <v>68000</v>
      </c>
      <c r="F45" s="242"/>
      <c r="G45" s="126">
        <f>SUM(G42:G44)</f>
        <v>80300</v>
      </c>
      <c r="H45" s="126"/>
      <c r="I45" s="126"/>
      <c r="J45" s="8"/>
    </row>
    <row r="46" spans="1:10" ht="12.75" outlineLevel="2">
      <c r="A46" s="135"/>
      <c r="B46" s="17" t="s">
        <v>93</v>
      </c>
      <c r="C46" s="77">
        <v>0</v>
      </c>
      <c r="D46" s="86">
        <v>0</v>
      </c>
      <c r="E46" s="133">
        <v>0</v>
      </c>
      <c r="F46" s="244"/>
      <c r="G46" s="125" t="s">
        <v>132</v>
      </c>
      <c r="H46" s="125"/>
      <c r="I46" s="125"/>
      <c r="J46" s="8"/>
    </row>
    <row r="47" spans="1:10" ht="12.75" outlineLevel="2">
      <c r="A47" s="135"/>
      <c r="B47" s="17" t="s">
        <v>191</v>
      </c>
      <c r="C47" s="78">
        <v>0</v>
      </c>
      <c r="D47" s="86">
        <v>0</v>
      </c>
      <c r="E47" s="82">
        <v>60000</v>
      </c>
      <c r="F47" s="241"/>
      <c r="G47" s="125">
        <v>75000</v>
      </c>
      <c r="H47" s="125"/>
      <c r="I47" s="125"/>
      <c r="J47" s="8"/>
    </row>
    <row r="48" spans="1:10" ht="12.75" outlineLevel="2">
      <c r="A48" s="137"/>
      <c r="B48" s="17" t="s">
        <v>94</v>
      </c>
      <c r="C48" s="61">
        <v>0</v>
      </c>
      <c r="D48" s="86">
        <v>0</v>
      </c>
      <c r="E48" s="133">
        <v>0</v>
      </c>
      <c r="F48" s="244"/>
      <c r="G48" s="125">
        <v>0</v>
      </c>
      <c r="H48" s="125"/>
      <c r="I48" s="125"/>
      <c r="J48" s="8"/>
    </row>
    <row r="49" spans="1:10" ht="12.75" outlineLevel="2">
      <c r="A49" s="137"/>
      <c r="B49" s="17" t="s">
        <v>95</v>
      </c>
      <c r="C49" s="61">
        <v>0</v>
      </c>
      <c r="D49" s="86">
        <v>0</v>
      </c>
      <c r="E49" s="82">
        <v>7000</v>
      </c>
      <c r="F49" s="241"/>
      <c r="G49" s="125">
        <v>0</v>
      </c>
      <c r="H49" s="125"/>
      <c r="I49" s="125"/>
      <c r="J49" s="8"/>
    </row>
    <row r="50" spans="1:10" ht="12.75" outlineLevel="2">
      <c r="A50" s="137"/>
      <c r="B50" s="17" t="s">
        <v>96</v>
      </c>
      <c r="C50" s="61">
        <v>0</v>
      </c>
      <c r="D50" s="86">
        <v>0</v>
      </c>
      <c r="E50" s="133">
        <v>0</v>
      </c>
      <c r="F50" s="244"/>
      <c r="G50" s="125">
        <v>0</v>
      </c>
      <c r="H50" s="125"/>
      <c r="I50" s="125"/>
      <c r="J50" s="8"/>
    </row>
    <row r="51" spans="1:10" ht="12.75" outlineLevel="1">
      <c r="A51" s="136">
        <v>7610</v>
      </c>
      <c r="B51" s="170" t="s">
        <v>187</v>
      </c>
      <c r="C51" s="61">
        <v>0</v>
      </c>
      <c r="D51" s="86">
        <v>0</v>
      </c>
      <c r="E51" s="164">
        <f>SUM(E46:E50)</f>
        <v>67000</v>
      </c>
      <c r="F51" s="242"/>
      <c r="G51" s="164">
        <f>SUM(G46:G50)</f>
        <v>75000</v>
      </c>
      <c r="H51" s="164"/>
      <c r="I51" s="164"/>
      <c r="J51" s="8"/>
    </row>
    <row r="52" spans="1:10" ht="12.75" outlineLevel="1">
      <c r="A52" s="50"/>
      <c r="B52" s="170" t="s">
        <v>193</v>
      </c>
      <c r="C52" s="61">
        <v>75000</v>
      </c>
      <c r="D52" s="94">
        <f>SUM(D41:D45)</f>
        <v>69725.51000000001</v>
      </c>
      <c r="E52" s="164">
        <v>0</v>
      </c>
      <c r="F52" s="242"/>
      <c r="G52" s="81">
        <v>0</v>
      </c>
      <c r="H52" s="81"/>
      <c r="I52" s="81"/>
      <c r="J52" s="8"/>
    </row>
    <row r="53" spans="1:10" ht="12.75" hidden="1">
      <c r="A53" s="7" t="s">
        <v>185</v>
      </c>
      <c r="B53" s="7" t="s">
        <v>240</v>
      </c>
      <c r="C53" s="77">
        <v>75000</v>
      </c>
      <c r="D53" s="165">
        <f>D52+D35+D36+D37</f>
        <v>219176.47000000003</v>
      </c>
      <c r="E53" s="81">
        <f>SUM(E35+E36+E45+E37+E51)</f>
        <v>223000</v>
      </c>
      <c r="F53" s="242"/>
      <c r="G53" s="81">
        <f>SUM(G35+G36+G37+G45+G51)</f>
        <v>283300</v>
      </c>
      <c r="H53" s="81"/>
      <c r="I53" s="81"/>
      <c r="J53" s="8"/>
    </row>
    <row r="54" spans="1:11" ht="12.75" outlineLevel="1">
      <c r="A54" s="52">
        <v>7390</v>
      </c>
      <c r="B54" s="8" t="s">
        <v>165</v>
      </c>
      <c r="C54" s="78">
        <v>0</v>
      </c>
      <c r="D54" s="168">
        <f>6435.75/2</f>
        <v>3217.875</v>
      </c>
      <c r="E54" s="132">
        <f>3077.25+2787.75</f>
        <v>5865</v>
      </c>
      <c r="F54" s="243"/>
      <c r="G54" s="134">
        <f>2787+2491</f>
        <v>5278</v>
      </c>
      <c r="H54" s="134"/>
      <c r="I54" s="134"/>
      <c r="J54" s="8"/>
      <c r="K54" s="93"/>
    </row>
    <row r="55" spans="1:11" ht="12.75" outlineLevel="1">
      <c r="A55" s="53">
        <v>7390</v>
      </c>
      <c r="B55" s="9" t="s">
        <v>166</v>
      </c>
      <c r="C55" s="78">
        <v>0</v>
      </c>
      <c r="D55" s="168"/>
      <c r="E55" s="132">
        <v>15000</v>
      </c>
      <c r="F55" s="243"/>
      <c r="G55" s="134">
        <f>15000</f>
        <v>15000</v>
      </c>
      <c r="H55" s="134"/>
      <c r="I55" s="134"/>
      <c r="J55" s="8"/>
      <c r="K55" s="93"/>
    </row>
    <row r="56" spans="1:10" ht="12.75">
      <c r="A56" s="7" t="s">
        <v>186</v>
      </c>
      <c r="B56" s="7" t="s">
        <v>243</v>
      </c>
      <c r="C56" s="77">
        <v>21400</v>
      </c>
      <c r="D56" s="94">
        <f>D54+D55</f>
        <v>3217.875</v>
      </c>
      <c r="E56" s="81">
        <f>E55+E54</f>
        <v>20865</v>
      </c>
      <c r="F56" s="242"/>
      <c r="G56" s="92">
        <f>17788+2490</f>
        <v>20278</v>
      </c>
      <c r="H56" s="92"/>
      <c r="I56" s="92"/>
      <c r="J56" s="8"/>
    </row>
    <row r="57" spans="2:11" ht="26.25" thickBot="1">
      <c r="B57" s="55" t="s">
        <v>188</v>
      </c>
      <c r="C57" s="176">
        <f>SUM(C4:C56)-75000</f>
        <v>712400</v>
      </c>
      <c r="D57" s="177">
        <f>D5+D13+D14+D22+SUM(D23:D33)+SUM(D35:D37)+D52+D56</f>
        <v>759325.865</v>
      </c>
      <c r="E57" s="178">
        <f>E14+E56+E53+E34+E22+E13+E5</f>
        <v>834825</v>
      </c>
      <c r="F57" s="245"/>
      <c r="G57" s="179">
        <f>G14+G56+G53+G34+G22+G13+G5</f>
        <v>850918</v>
      </c>
      <c r="H57" s="179"/>
      <c r="I57" s="179"/>
      <c r="J57" s="51" t="s">
        <v>145</v>
      </c>
      <c r="K57" s="45">
        <f>(G57-E57)/E57</f>
        <v>0.01927709400173689</v>
      </c>
    </row>
    <row r="58" spans="1:9" ht="12.75">
      <c r="A58" s="253" t="s">
        <v>192</v>
      </c>
      <c r="B58" s="180"/>
      <c r="C58" s="180"/>
      <c r="D58" s="181"/>
      <c r="E58" s="182"/>
      <c r="F58" s="246"/>
      <c r="G58" s="183"/>
      <c r="H58" s="204"/>
      <c r="I58" s="204"/>
    </row>
    <row r="59" spans="1:9" ht="12.75">
      <c r="A59" s="254"/>
      <c r="B59" s="174" t="s">
        <v>97</v>
      </c>
      <c r="C59" s="175">
        <v>11000</v>
      </c>
      <c r="D59" s="163">
        <v>11000</v>
      </c>
      <c r="E59" s="175">
        <v>12000</v>
      </c>
      <c r="F59" s="247"/>
      <c r="G59" s="184">
        <v>12000</v>
      </c>
      <c r="H59" s="235"/>
      <c r="I59" s="235"/>
    </row>
    <row r="60" spans="1:9" ht="12.75">
      <c r="A60" s="254"/>
      <c r="B60" s="174" t="s">
        <v>98</v>
      </c>
      <c r="C60" s="175">
        <v>125000</v>
      </c>
      <c r="D60" s="163">
        <v>136311.44</v>
      </c>
      <c r="E60" s="175">
        <v>135000</v>
      </c>
      <c r="F60" s="247"/>
      <c r="G60" s="184">
        <v>135000</v>
      </c>
      <c r="H60" s="235"/>
      <c r="I60" s="235"/>
    </row>
    <row r="61" spans="1:9" ht="13.5" thickBot="1">
      <c r="A61" s="255"/>
      <c r="B61" s="3" t="s">
        <v>189</v>
      </c>
      <c r="C61" s="185">
        <v>0</v>
      </c>
      <c r="D61" s="186">
        <f>3285.87+10+500+80</f>
        <v>3875.87</v>
      </c>
      <c r="E61" s="185">
        <v>0</v>
      </c>
      <c r="F61" s="248"/>
      <c r="G61" s="187">
        <v>0</v>
      </c>
      <c r="H61" s="235"/>
      <c r="I61" s="235"/>
    </row>
    <row r="62" spans="1:9" ht="13.5" thickBot="1">
      <c r="A62" s="188" t="s">
        <v>190</v>
      </c>
      <c r="B62" s="189"/>
      <c r="C62" s="190">
        <f>C57-(C59+C60+C61)</f>
        <v>576400</v>
      </c>
      <c r="D62" s="191">
        <f>D57-SUM(D59:D61)</f>
        <v>608138.5549999999</v>
      </c>
      <c r="E62" s="190">
        <f>E57-SUM(E59:E61)</f>
        <v>687825</v>
      </c>
      <c r="F62" s="249"/>
      <c r="G62" s="192">
        <f>G57-SUM(G59:G61)</f>
        <v>703918</v>
      </c>
      <c r="H62" s="236"/>
      <c r="I62" s="236"/>
    </row>
  </sheetData>
  <sheetProtection/>
  <mergeCells count="1">
    <mergeCell ref="A58:A61"/>
  </mergeCells>
  <printOptions gridLines="1"/>
  <pageMargins left="0.75" right="0.75" top="1" bottom="1" header="0.5" footer="0.5"/>
  <pageSetup horizontalDpi="600" verticalDpi="600" orientation="portrait" scale="80" r:id="rId3"/>
  <headerFooter alignWithMargins="0">
    <oddHeader>&amp;C&amp;A&amp;RPage &amp;P</oddHeader>
    <oddFooter>&amp;L&amp;D&amp;R&amp;F</oddFooter>
  </headerFooter>
  <ignoredErrors>
    <ignoredError sqref="E22 E13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C23" sqref="C23:D23"/>
    </sheetView>
  </sheetViews>
  <sheetFormatPr defaultColWidth="9.140625" defaultRowHeight="12.75"/>
  <cols>
    <col min="1" max="1" width="15.00390625" style="0" customWidth="1"/>
    <col min="2" max="2" width="32.7109375" style="0" customWidth="1"/>
    <col min="3" max="3" width="15.57421875" style="0" customWidth="1"/>
    <col min="4" max="4" width="11.00390625" style="0" customWidth="1"/>
    <col min="5" max="5" width="10.57421875" style="0" customWidth="1"/>
    <col min="6" max="6" width="10.00390625" style="0" customWidth="1"/>
    <col min="7" max="7" width="13.28125" style="0" customWidth="1"/>
    <col min="8" max="8" width="13.140625" style="0" bestFit="1" customWidth="1"/>
    <col min="9" max="9" width="9.7109375" style="0" bestFit="1" customWidth="1"/>
  </cols>
  <sheetData>
    <row r="1" spans="1:8" ht="12.75">
      <c r="A1" s="256" t="s">
        <v>198</v>
      </c>
      <c r="B1" s="256"/>
      <c r="C1" s="256"/>
      <c r="D1" s="256"/>
      <c r="E1" s="256"/>
      <c r="F1" s="256"/>
      <c r="G1" s="256"/>
      <c r="H1" s="256"/>
    </row>
    <row r="2" spans="1:8" ht="51">
      <c r="A2" s="2" t="s">
        <v>200</v>
      </c>
      <c r="B2" s="2" t="s">
        <v>206</v>
      </c>
      <c r="C2" s="2" t="s">
        <v>197</v>
      </c>
      <c r="D2" s="2" t="s">
        <v>202</v>
      </c>
      <c r="E2" s="2" t="s">
        <v>212</v>
      </c>
      <c r="F2" s="2" t="s">
        <v>213</v>
      </c>
      <c r="G2" s="2" t="s">
        <v>199</v>
      </c>
      <c r="H2" s="2" t="s">
        <v>205</v>
      </c>
    </row>
    <row r="3" spans="1:8" ht="12.75">
      <c r="A3">
        <v>2000</v>
      </c>
      <c r="B3" t="s">
        <v>210</v>
      </c>
      <c r="C3" s="54">
        <v>61000</v>
      </c>
      <c r="E3">
        <v>10</v>
      </c>
      <c r="F3">
        <v>13</v>
      </c>
      <c r="G3">
        <v>2013</v>
      </c>
      <c r="H3" s="141">
        <v>135000</v>
      </c>
    </row>
    <row r="4" spans="1:8" ht="12.75">
      <c r="A4">
        <v>2006</v>
      </c>
      <c r="B4" t="s">
        <v>207</v>
      </c>
      <c r="C4" s="54">
        <v>47000</v>
      </c>
      <c r="E4">
        <v>5</v>
      </c>
      <c r="F4" s="4">
        <v>10</v>
      </c>
      <c r="G4" s="4">
        <v>2016</v>
      </c>
      <c r="H4" s="141">
        <v>30000</v>
      </c>
    </row>
    <row r="5" spans="1:8" ht="12.75">
      <c r="A5">
        <v>1994</v>
      </c>
      <c r="B5" t="s">
        <v>211</v>
      </c>
      <c r="E5">
        <v>15</v>
      </c>
      <c r="F5" s="4">
        <v>22</v>
      </c>
      <c r="G5" s="4">
        <v>2016</v>
      </c>
      <c r="H5" s="141">
        <v>30000</v>
      </c>
    </row>
    <row r="6" spans="1:8" ht="12.75">
      <c r="A6">
        <v>2005</v>
      </c>
      <c r="B6" t="s">
        <v>209</v>
      </c>
      <c r="C6" s="54">
        <v>105000</v>
      </c>
      <c r="E6">
        <v>10</v>
      </c>
      <c r="F6">
        <v>12</v>
      </c>
      <c r="G6">
        <v>2017</v>
      </c>
      <c r="H6" s="155">
        <v>160000</v>
      </c>
    </row>
    <row r="7" spans="1:8" ht="12.75">
      <c r="A7">
        <v>2006</v>
      </c>
      <c r="B7" t="s">
        <v>208</v>
      </c>
      <c r="C7" s="54">
        <v>95000</v>
      </c>
      <c r="E7">
        <v>10</v>
      </c>
      <c r="F7">
        <v>12</v>
      </c>
      <c r="G7">
        <v>2018</v>
      </c>
      <c r="H7" s="155">
        <v>160000</v>
      </c>
    </row>
    <row r="8" spans="1:8" ht="12.75">
      <c r="A8">
        <v>2007</v>
      </c>
      <c r="B8" t="s">
        <v>214</v>
      </c>
      <c r="C8" s="140">
        <v>145000</v>
      </c>
      <c r="E8">
        <v>10</v>
      </c>
      <c r="F8">
        <v>12</v>
      </c>
      <c r="G8">
        <v>2019</v>
      </c>
      <c r="H8" s="141">
        <v>200000</v>
      </c>
    </row>
    <row r="9" spans="1:8" ht="12.75">
      <c r="A9">
        <v>2008</v>
      </c>
      <c r="B9" t="s">
        <v>204</v>
      </c>
      <c r="C9" s="54">
        <v>151000</v>
      </c>
      <c r="D9" t="s">
        <v>203</v>
      </c>
      <c r="E9">
        <v>15</v>
      </c>
      <c r="F9">
        <v>16</v>
      </c>
      <c r="G9">
        <v>2024</v>
      </c>
      <c r="H9" s="141">
        <v>175000</v>
      </c>
    </row>
    <row r="10" spans="1:8" ht="12.75">
      <c r="A10">
        <v>2009</v>
      </c>
      <c r="B10" t="s">
        <v>201</v>
      </c>
      <c r="C10" s="54">
        <v>106000</v>
      </c>
      <c r="D10" t="s">
        <v>203</v>
      </c>
      <c r="E10">
        <v>15</v>
      </c>
      <c r="F10">
        <v>16</v>
      </c>
      <c r="G10">
        <v>2025</v>
      </c>
      <c r="H10" s="141">
        <v>135000</v>
      </c>
    </row>
    <row r="11" spans="1:8" ht="12.75">
      <c r="A11" s="4">
        <v>2012</v>
      </c>
      <c r="B11" s="4" t="s">
        <v>221</v>
      </c>
      <c r="C11" s="154">
        <v>288745</v>
      </c>
      <c r="D11" t="s">
        <v>203</v>
      </c>
      <c r="E11">
        <v>15</v>
      </c>
      <c r="F11">
        <v>20</v>
      </c>
      <c r="G11">
        <v>2031</v>
      </c>
      <c r="H11" s="141" t="s">
        <v>223</v>
      </c>
    </row>
    <row r="14" spans="1:8" ht="12.75">
      <c r="A14" s="256" t="s">
        <v>246</v>
      </c>
      <c r="B14" s="256"/>
      <c r="C14" s="256"/>
      <c r="D14" s="256"/>
      <c r="E14" s="256"/>
      <c r="F14" s="256"/>
      <c r="G14" s="256"/>
      <c r="H14" s="256"/>
    </row>
    <row r="15" ht="12.75">
      <c r="A15" s="1"/>
    </row>
    <row r="16" spans="1:9" ht="38.25">
      <c r="A16" s="2" t="s">
        <v>215</v>
      </c>
      <c r="B16" s="1" t="s">
        <v>218</v>
      </c>
      <c r="C16" s="1">
        <v>2012</v>
      </c>
      <c r="D16" s="1">
        <v>2013</v>
      </c>
      <c r="E16" s="1">
        <v>2014</v>
      </c>
      <c r="F16" s="1">
        <v>2015</v>
      </c>
      <c r="G16" s="1">
        <v>2016</v>
      </c>
      <c r="H16" s="1">
        <v>2017</v>
      </c>
      <c r="I16" s="1">
        <v>2018</v>
      </c>
    </row>
    <row r="17" spans="1:7" ht="12.75">
      <c r="A17" t="s">
        <v>216</v>
      </c>
      <c r="B17" t="s">
        <v>201</v>
      </c>
      <c r="C17" s="54">
        <v>24050</v>
      </c>
      <c r="D17" s="54">
        <v>24050</v>
      </c>
      <c r="E17" s="54">
        <v>24050</v>
      </c>
      <c r="F17" s="54"/>
      <c r="G17" s="54"/>
    </row>
    <row r="18" spans="1:12" ht="12.75">
      <c r="A18" t="s">
        <v>216</v>
      </c>
      <c r="B18" t="s">
        <v>204</v>
      </c>
      <c r="C18" s="54">
        <v>22000</v>
      </c>
      <c r="D18" s="54">
        <v>22000</v>
      </c>
      <c r="E18" s="54">
        <v>22000</v>
      </c>
      <c r="F18" s="54">
        <v>22000</v>
      </c>
      <c r="G18" s="54"/>
      <c r="J18" s="143"/>
      <c r="K18" s="143"/>
      <c r="L18" s="143"/>
    </row>
    <row r="19" spans="1:9" ht="12.75">
      <c r="A19" t="s">
        <v>216</v>
      </c>
      <c r="B19" t="s">
        <v>221</v>
      </c>
      <c r="C19" s="143">
        <v>0</v>
      </c>
      <c r="D19" s="142">
        <v>34250</v>
      </c>
      <c r="E19" s="142">
        <v>34250</v>
      </c>
      <c r="F19" s="142">
        <v>34250</v>
      </c>
      <c r="G19" s="143">
        <v>34250</v>
      </c>
      <c r="H19" s="143">
        <v>34250</v>
      </c>
      <c r="I19" s="54">
        <v>34250</v>
      </c>
    </row>
    <row r="20" spans="1:9" s="1" customFormat="1" ht="12.75">
      <c r="A20" t="s">
        <v>216</v>
      </c>
      <c r="B20" t="s">
        <v>214</v>
      </c>
      <c r="C20" s="143">
        <v>22000</v>
      </c>
      <c r="D20" s="143">
        <v>0</v>
      </c>
      <c r="E20"/>
      <c r="F20"/>
      <c r="G20"/>
      <c r="H20"/>
      <c r="I20" s="54"/>
    </row>
    <row r="21" spans="1:9" ht="12.75">
      <c r="A21" s="1"/>
      <c r="B21" s="1" t="s">
        <v>222</v>
      </c>
      <c r="C21" s="47">
        <f aca="true" t="shared" si="0" ref="C21:H21">SUM(C17:C20)</f>
        <v>68050</v>
      </c>
      <c r="D21" s="47">
        <f t="shared" si="0"/>
        <v>80300</v>
      </c>
      <c r="E21" s="47">
        <f t="shared" si="0"/>
        <v>80300</v>
      </c>
      <c r="F21" s="47">
        <f t="shared" si="0"/>
        <v>56250</v>
      </c>
      <c r="G21" s="47">
        <f t="shared" si="0"/>
        <v>34250</v>
      </c>
      <c r="H21" s="47">
        <f t="shared" si="0"/>
        <v>34250</v>
      </c>
      <c r="I21" s="46">
        <f>SUM(I16:I20)</f>
        <v>36268</v>
      </c>
    </row>
    <row r="22" spans="3:9" ht="12.75">
      <c r="C22" s="143"/>
      <c r="D22" s="143"/>
      <c r="I22" s="54"/>
    </row>
    <row r="23" spans="1:9" ht="12.75">
      <c r="A23" t="s">
        <v>219</v>
      </c>
      <c r="B23" t="s">
        <v>210</v>
      </c>
      <c r="C23" s="143">
        <v>67000</v>
      </c>
      <c r="D23" s="54">
        <v>75000</v>
      </c>
      <c r="E23" s="54"/>
      <c r="F23" s="54"/>
      <c r="G23" s="54"/>
      <c r="H23" s="54"/>
      <c r="I23" s="54"/>
    </row>
    <row r="24" spans="1:9" ht="12.75">
      <c r="A24" t="s">
        <v>247</v>
      </c>
      <c r="B24" t="s">
        <v>207</v>
      </c>
      <c r="C24" s="143"/>
      <c r="D24" s="144"/>
      <c r="E24" s="193">
        <v>25000</v>
      </c>
      <c r="F24" s="193">
        <v>5000</v>
      </c>
      <c r="G24" s="193"/>
      <c r="H24" s="54"/>
      <c r="I24" s="54"/>
    </row>
    <row r="25" spans="1:9" ht="12.75">
      <c r="A25" t="s">
        <v>219</v>
      </c>
      <c r="B25" t="s">
        <v>208</v>
      </c>
      <c r="C25" s="54"/>
      <c r="D25" s="54"/>
      <c r="E25" s="193"/>
      <c r="F25" s="193">
        <v>40000</v>
      </c>
      <c r="G25" s="193">
        <v>40000</v>
      </c>
      <c r="H25" s="193">
        <v>40000</v>
      </c>
      <c r="I25" s="193">
        <v>40000</v>
      </c>
    </row>
    <row r="26" spans="1:9" ht="12.75">
      <c r="A26" t="s">
        <v>219</v>
      </c>
      <c r="B26" t="s">
        <v>209</v>
      </c>
      <c r="C26" s="54"/>
      <c r="D26" s="54"/>
      <c r="E26" s="193">
        <v>40000</v>
      </c>
      <c r="F26" s="193">
        <v>40000</v>
      </c>
      <c r="G26" s="193">
        <v>40000</v>
      </c>
      <c r="H26" s="193">
        <v>40000</v>
      </c>
      <c r="I26" s="54"/>
    </row>
    <row r="27" spans="1:9" ht="12.75">
      <c r="A27" t="s">
        <v>219</v>
      </c>
      <c r="B27" t="s">
        <v>211</v>
      </c>
      <c r="C27" s="54"/>
      <c r="D27" s="144"/>
      <c r="E27" s="193">
        <v>10000</v>
      </c>
      <c r="F27" s="193">
        <v>10000</v>
      </c>
      <c r="G27" s="193">
        <v>10000</v>
      </c>
      <c r="H27" s="54"/>
      <c r="I27" s="54"/>
    </row>
    <row r="28" spans="1:9" ht="12.75">
      <c r="A28" t="s">
        <v>219</v>
      </c>
      <c r="B28" t="s">
        <v>224</v>
      </c>
      <c r="C28" s="54"/>
      <c r="D28" s="144"/>
      <c r="E28" s="144"/>
      <c r="F28" s="54"/>
      <c r="G28" s="54">
        <v>45000</v>
      </c>
      <c r="H28" s="54">
        <v>50000</v>
      </c>
      <c r="I28" s="54">
        <v>60000</v>
      </c>
    </row>
    <row r="29" spans="1:9" ht="12.75">
      <c r="A29" s="1" t="s">
        <v>220</v>
      </c>
      <c r="C29" s="46">
        <f aca="true" t="shared" si="1" ref="C29:I29">SUM(C23:C28)</f>
        <v>67000</v>
      </c>
      <c r="D29" s="46">
        <f t="shared" si="1"/>
        <v>75000</v>
      </c>
      <c r="E29" s="46">
        <f t="shared" si="1"/>
        <v>75000</v>
      </c>
      <c r="F29" s="46">
        <f t="shared" si="1"/>
        <v>95000</v>
      </c>
      <c r="G29" s="46">
        <f t="shared" si="1"/>
        <v>135000</v>
      </c>
      <c r="H29" s="46">
        <f t="shared" si="1"/>
        <v>130000</v>
      </c>
      <c r="I29" s="46">
        <f t="shared" si="1"/>
        <v>100000</v>
      </c>
    </row>
    <row r="30" spans="1:9" s="1" customFormat="1" ht="12.75">
      <c r="A30"/>
      <c r="B30"/>
      <c r="C30"/>
      <c r="D30"/>
      <c r="E30"/>
      <c r="F30" s="54"/>
      <c r="G30" s="54"/>
      <c r="H30" s="54"/>
      <c r="I30"/>
    </row>
    <row r="31" spans="1:9" ht="12.75">
      <c r="A31" s="1" t="s">
        <v>217</v>
      </c>
      <c r="B31" s="1"/>
      <c r="C31" s="47">
        <f aca="true" t="shared" si="2" ref="C31:I31">C21+C29</f>
        <v>135050</v>
      </c>
      <c r="D31" s="47">
        <f t="shared" si="2"/>
        <v>155300</v>
      </c>
      <c r="E31" s="47">
        <f t="shared" si="2"/>
        <v>155300</v>
      </c>
      <c r="F31" s="46">
        <f t="shared" si="2"/>
        <v>151250</v>
      </c>
      <c r="G31" s="46">
        <f t="shared" si="2"/>
        <v>169250</v>
      </c>
      <c r="H31" s="46">
        <f t="shared" si="2"/>
        <v>164250</v>
      </c>
      <c r="I31" s="47">
        <f t="shared" si="2"/>
        <v>136268</v>
      </c>
    </row>
  </sheetData>
  <sheetProtection/>
  <mergeCells count="2">
    <mergeCell ref="A1:H1"/>
    <mergeCell ref="A14:H14"/>
  </mergeCells>
  <printOptions gridLines="1"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2" sqref="A2"/>
    </sheetView>
  </sheetViews>
  <sheetFormatPr defaultColWidth="9.140625" defaultRowHeight="12.75"/>
  <cols>
    <col min="5" max="5" width="17.421875" style="0" customWidth="1"/>
  </cols>
  <sheetData>
    <row r="1" ht="12.75">
      <c r="A1" s="210" t="s">
        <v>275</v>
      </c>
    </row>
    <row r="2" spans="2:6" ht="12.75">
      <c r="B2" s="218" t="s">
        <v>271</v>
      </c>
      <c r="C2" s="218"/>
      <c r="D2" s="218"/>
      <c r="E2" s="218"/>
      <c r="F2" s="219"/>
    </row>
    <row r="3" spans="1:6" ht="12.75">
      <c r="A3" s="218"/>
      <c r="B3" s="218"/>
      <c r="C3" s="218" t="s">
        <v>272</v>
      </c>
      <c r="D3" s="218"/>
      <c r="E3" s="218"/>
      <c r="F3" s="219">
        <v>111.18</v>
      </c>
    </row>
    <row r="4" spans="1:6" ht="13.5" thickBot="1">
      <c r="A4" s="218"/>
      <c r="B4" s="218"/>
      <c r="C4" s="218" t="s">
        <v>273</v>
      </c>
      <c r="D4" s="218"/>
      <c r="E4" s="218"/>
      <c r="F4" s="220">
        <v>4744.36</v>
      </c>
    </row>
    <row r="5" spans="1:6" ht="12.75">
      <c r="A5" s="218"/>
      <c r="B5" s="218" t="s">
        <v>274</v>
      </c>
      <c r="C5" s="218"/>
      <c r="D5" s="218"/>
      <c r="E5" s="218"/>
      <c r="F5" s="219">
        <v>4855.54</v>
      </c>
    </row>
    <row r="6" ht="12.75">
      <c r="A6" s="2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Springfield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Edee L Edwards</dc:creator>
  <cp:keywords/>
  <dc:description/>
  <cp:lastModifiedBy>Tess Gauthier</cp:lastModifiedBy>
  <cp:lastPrinted>2012-02-03T12:31:02Z</cp:lastPrinted>
  <dcterms:created xsi:type="dcterms:W3CDTF">2011-01-03T13:54:31Z</dcterms:created>
  <dcterms:modified xsi:type="dcterms:W3CDTF">2013-10-16T13:39:07Z</dcterms:modified>
  <cp:category/>
  <cp:version/>
  <cp:contentType/>
  <cp:contentStatus/>
</cp:coreProperties>
</file>